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99284404-263F-4414-8F27-F76AACD39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kem" sheetId="1" r:id="rId1"/>
    <sheet name="2025" sheetId="1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U38" i="1"/>
  <c r="T38" i="1"/>
  <c r="R38" i="1"/>
  <c r="Q38" i="1"/>
  <c r="N38" i="1"/>
  <c r="M38" i="1"/>
  <c r="L38" i="1"/>
  <c r="K38" i="1"/>
  <c r="L40" i="1" s="1"/>
  <c r="J38" i="1"/>
  <c r="I38" i="1"/>
  <c r="E38" i="1"/>
  <c r="D38" i="1"/>
  <c r="C38" i="1"/>
  <c r="AW18" i="1"/>
  <c r="AV18" i="1"/>
  <c r="AU18" i="1"/>
  <c r="AT18" i="1"/>
  <c r="AS18" i="1"/>
  <c r="AR18" i="1"/>
  <c r="AQ18" i="1"/>
  <c r="AP18" i="1"/>
  <c r="AO18" i="1"/>
  <c r="AN18" i="1"/>
  <c r="AM18" i="1"/>
  <c r="AK18" i="1"/>
  <c r="AJ18" i="1"/>
  <c r="AI18" i="1"/>
  <c r="AH18" i="1"/>
  <c r="AG18" i="1"/>
  <c r="AF18" i="1"/>
  <c r="AE19" i="1" s="1"/>
  <c r="AE18" i="1"/>
  <c r="AD18" i="1"/>
  <c r="AC18" i="1"/>
  <c r="AB18" i="1"/>
  <c r="AA18" i="1"/>
  <c r="Z18" i="1"/>
  <c r="Y18" i="1"/>
  <c r="Y19" i="1" s="1"/>
  <c r="X18" i="1"/>
  <c r="W18" i="1"/>
  <c r="V18" i="1"/>
  <c r="U18" i="1"/>
  <c r="T18" i="1"/>
  <c r="S19" i="1" s="1"/>
  <c r="S18" i="1"/>
  <c r="R18" i="1"/>
  <c r="Q18" i="1"/>
  <c r="P18" i="1"/>
  <c r="O18" i="1"/>
  <c r="N18" i="1"/>
  <c r="M18" i="1"/>
  <c r="M19" i="1" s="1"/>
  <c r="L18" i="1"/>
  <c r="K18" i="1"/>
  <c r="J18" i="1"/>
  <c r="I18" i="1"/>
  <c r="H18" i="1"/>
  <c r="G19" i="1" s="1"/>
  <c r="G18" i="1"/>
  <c r="F18" i="1"/>
  <c r="E18" i="1"/>
  <c r="D18" i="1"/>
  <c r="C18" i="1"/>
  <c r="AH42" i="12"/>
  <c r="AH43" i="12"/>
  <c r="AH44" i="12"/>
  <c r="AH45" i="12"/>
  <c r="AH46" i="12"/>
  <c r="AH47" i="12"/>
  <c r="AH48" i="12"/>
  <c r="AH41" i="12"/>
  <c r="AE42" i="12"/>
  <c r="AE43" i="12"/>
  <c r="AE44" i="12"/>
  <c r="AE49" i="12" s="1"/>
  <c r="AE45" i="12"/>
  <c r="AE46" i="12"/>
  <c r="AE47" i="12"/>
  <c r="AE48" i="12"/>
  <c r="AE41" i="12"/>
  <c r="AB42" i="12"/>
  <c r="AB43" i="12"/>
  <c r="AB44" i="12"/>
  <c r="AB45" i="12"/>
  <c r="AB46" i="12"/>
  <c r="AB47" i="12"/>
  <c r="AB48" i="12"/>
  <c r="AB41" i="12"/>
  <c r="Y42" i="12"/>
  <c r="Y43" i="12"/>
  <c r="Y44" i="12"/>
  <c r="Y45" i="12"/>
  <c r="Y46" i="12"/>
  <c r="Y47" i="12"/>
  <c r="Y48" i="12"/>
  <c r="Y41" i="12"/>
  <c r="V42" i="12"/>
  <c r="V43" i="12"/>
  <c r="V44" i="12"/>
  <c r="V45" i="12"/>
  <c r="V46" i="12"/>
  <c r="V47" i="12"/>
  <c r="V48" i="12"/>
  <c r="V41" i="12"/>
  <c r="S42" i="12"/>
  <c r="S43" i="12"/>
  <c r="S49" i="12" s="1"/>
  <c r="S44" i="12"/>
  <c r="S45" i="12"/>
  <c r="S46" i="12"/>
  <c r="S47" i="12"/>
  <c r="S48" i="12"/>
  <c r="S41" i="12"/>
  <c r="P42" i="12"/>
  <c r="P43" i="12"/>
  <c r="P44" i="12"/>
  <c r="P45" i="12"/>
  <c r="P46" i="12"/>
  <c r="P47" i="12"/>
  <c r="P48" i="12"/>
  <c r="P41" i="12"/>
  <c r="M42" i="12"/>
  <c r="M43" i="12"/>
  <c r="M44" i="12"/>
  <c r="M45" i="12"/>
  <c r="M46" i="12"/>
  <c r="M47" i="12"/>
  <c r="M48" i="12"/>
  <c r="M41" i="12"/>
  <c r="J42" i="12"/>
  <c r="J43" i="12"/>
  <c r="J44" i="12"/>
  <c r="J45" i="12"/>
  <c r="J46" i="12"/>
  <c r="J47" i="12"/>
  <c r="J48" i="12"/>
  <c r="J41" i="12"/>
  <c r="AK41" i="12" s="1"/>
  <c r="P49" i="12"/>
  <c r="D48" i="12"/>
  <c r="D47" i="12"/>
  <c r="D46" i="12"/>
  <c r="D45" i="12"/>
  <c r="D44" i="12"/>
  <c r="D43" i="12"/>
  <c r="D42" i="12"/>
  <c r="D41" i="12"/>
  <c r="D49" i="12"/>
  <c r="G48" i="12"/>
  <c r="G47" i="12"/>
  <c r="G46" i="12"/>
  <c r="G45" i="12"/>
  <c r="G43" i="12"/>
  <c r="G42" i="12"/>
  <c r="G44" i="12"/>
  <c r="G41" i="12"/>
  <c r="E78" i="1"/>
  <c r="D78" i="1"/>
  <c r="AL99" i="1"/>
  <c r="V78" i="1"/>
  <c r="U78" i="1"/>
  <c r="T78" i="1"/>
  <c r="R78" i="1"/>
  <c r="Q78" i="1"/>
  <c r="N78" i="1"/>
  <c r="M78" i="1"/>
  <c r="L78" i="1"/>
  <c r="K78" i="1"/>
  <c r="L80" i="1" s="1"/>
  <c r="J78" i="1"/>
  <c r="I78" i="1"/>
  <c r="C78" i="1"/>
  <c r="AW58" i="1"/>
  <c r="AV58" i="1"/>
  <c r="AU58" i="1"/>
  <c r="AT58" i="1"/>
  <c r="AS58" i="1"/>
  <c r="AR58" i="1"/>
  <c r="AQ58" i="1"/>
  <c r="AP58" i="1"/>
  <c r="AO58" i="1"/>
  <c r="AN58" i="1"/>
  <c r="AM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J63" i="12"/>
  <c r="AG63" i="12"/>
  <c r="AD63" i="12"/>
  <c r="AA63" i="12"/>
  <c r="X63" i="12"/>
  <c r="U63" i="12"/>
  <c r="R63" i="12"/>
  <c r="O63" i="12"/>
  <c r="L63" i="12"/>
  <c r="I63" i="12"/>
  <c r="F63" i="12"/>
  <c r="C63" i="12"/>
  <c r="AK62" i="12"/>
  <c r="AH62" i="12"/>
  <c r="AE62" i="12"/>
  <c r="AB62" i="12"/>
  <c r="Y62" i="12"/>
  <c r="V62" i="12"/>
  <c r="S62" i="12"/>
  <c r="P62" i="12"/>
  <c r="M62" i="12"/>
  <c r="J62" i="12"/>
  <c r="AK61" i="12"/>
  <c r="AH61" i="12"/>
  <c r="AE61" i="12"/>
  <c r="AB61" i="12"/>
  <c r="Y61" i="12"/>
  <c r="V61" i="12"/>
  <c r="S61" i="12"/>
  <c r="P61" i="12"/>
  <c r="M61" i="12"/>
  <c r="J61" i="12"/>
  <c r="AK60" i="12"/>
  <c r="AH60" i="12"/>
  <c r="AE60" i="12"/>
  <c r="AB60" i="12"/>
  <c r="Y60" i="12"/>
  <c r="V60" i="12"/>
  <c r="S60" i="12"/>
  <c r="P60" i="12"/>
  <c r="M60" i="12"/>
  <c r="J60" i="12"/>
  <c r="AK59" i="12"/>
  <c r="AH59" i="12"/>
  <c r="AE59" i="12"/>
  <c r="AB59" i="12"/>
  <c r="Y59" i="12"/>
  <c r="V59" i="12"/>
  <c r="S59" i="12"/>
  <c r="P59" i="12"/>
  <c r="M59" i="12"/>
  <c r="J59" i="12"/>
  <c r="AK58" i="12"/>
  <c r="AH58" i="12"/>
  <c r="AE58" i="12"/>
  <c r="AB58" i="12"/>
  <c r="Y58" i="12"/>
  <c r="V58" i="12"/>
  <c r="S58" i="12"/>
  <c r="P58" i="12"/>
  <c r="M58" i="12"/>
  <c r="J58" i="12"/>
  <c r="AK57" i="12"/>
  <c r="AH57" i="12"/>
  <c r="AE57" i="12"/>
  <c r="AB57" i="12"/>
  <c r="Y57" i="12"/>
  <c r="V57" i="12"/>
  <c r="S57" i="12"/>
  <c r="P57" i="12"/>
  <c r="M57" i="12"/>
  <c r="J57" i="12"/>
  <c r="G57" i="12"/>
  <c r="AK56" i="12"/>
  <c r="AH56" i="12"/>
  <c r="AE56" i="12"/>
  <c r="AB56" i="12"/>
  <c r="Y56" i="12"/>
  <c r="V56" i="12"/>
  <c r="S56" i="12"/>
  <c r="P56" i="12"/>
  <c r="M56" i="12"/>
  <c r="J56" i="12"/>
  <c r="G56" i="12"/>
  <c r="D56" i="12"/>
  <c r="AK55" i="12"/>
  <c r="AH55" i="12"/>
  <c r="AE55" i="12"/>
  <c r="AB55" i="12"/>
  <c r="Y55" i="12"/>
  <c r="V55" i="12"/>
  <c r="S55" i="12"/>
  <c r="P55" i="12"/>
  <c r="M55" i="12"/>
  <c r="J55" i="12"/>
  <c r="G55" i="12"/>
  <c r="D55" i="12"/>
  <c r="D63" i="12" s="1"/>
  <c r="AJ49" i="12"/>
  <c r="AG49" i="12"/>
  <c r="AD49" i="12"/>
  <c r="AA49" i="12"/>
  <c r="X49" i="12"/>
  <c r="U49" i="12"/>
  <c r="R49" i="12"/>
  <c r="O49" i="12"/>
  <c r="L49" i="12"/>
  <c r="I49" i="12"/>
  <c r="F49" i="12"/>
  <c r="C49" i="12"/>
  <c r="AK48" i="12"/>
  <c r="AK47" i="12"/>
  <c r="AK46" i="12"/>
  <c r="AK45" i="12"/>
  <c r="AK44" i="12"/>
  <c r="AK43" i="12"/>
  <c r="AK42" i="12"/>
  <c r="AH49" i="12"/>
  <c r="AJ35" i="12"/>
  <c r="AG35" i="12"/>
  <c r="AD35" i="12"/>
  <c r="AA35" i="12"/>
  <c r="X35" i="12"/>
  <c r="U35" i="12"/>
  <c r="R35" i="12"/>
  <c r="O35" i="12"/>
  <c r="L35" i="12"/>
  <c r="I35" i="12"/>
  <c r="F35" i="12"/>
  <c r="C35" i="12"/>
  <c r="Y33" i="12"/>
  <c r="Y32" i="12"/>
  <c r="Y31" i="12"/>
  <c r="AE30" i="12"/>
  <c r="AB30" i="12"/>
  <c r="Y30" i="12"/>
  <c r="V30" i="12"/>
  <c r="AE29" i="12"/>
  <c r="AB29" i="12"/>
  <c r="Y29" i="12"/>
  <c r="V29" i="12"/>
  <c r="AE28" i="12"/>
  <c r="AB28" i="12"/>
  <c r="Y28" i="12"/>
  <c r="V28" i="12"/>
  <c r="AE27" i="12"/>
  <c r="AB27" i="12"/>
  <c r="Y27" i="12"/>
  <c r="V27" i="12"/>
  <c r="AE26" i="12"/>
  <c r="AB26" i="12"/>
  <c r="Y26" i="12"/>
  <c r="V26" i="12"/>
  <c r="M26" i="12"/>
  <c r="D26" i="12"/>
  <c r="AH25" i="12"/>
  <c r="AE25" i="12"/>
  <c r="AB25" i="12"/>
  <c r="Y25" i="12"/>
  <c r="V25" i="12"/>
  <c r="M25" i="12"/>
  <c r="D25" i="12"/>
  <c r="AH24" i="12"/>
  <c r="AE24" i="12"/>
  <c r="AB24" i="12"/>
  <c r="Y24" i="12"/>
  <c r="V24" i="12"/>
  <c r="M24" i="12"/>
  <c r="D24" i="12"/>
  <c r="AH23" i="12"/>
  <c r="AE23" i="12"/>
  <c r="AB23" i="12"/>
  <c r="Y23" i="12"/>
  <c r="V23" i="12"/>
  <c r="S23" i="12"/>
  <c r="M23" i="12"/>
  <c r="D23" i="12"/>
  <c r="AH22" i="12"/>
  <c r="AE22" i="12"/>
  <c r="AB22" i="12"/>
  <c r="Y22" i="12"/>
  <c r="V22" i="12"/>
  <c r="S22" i="12"/>
  <c r="M22" i="12"/>
  <c r="J22" i="12"/>
  <c r="D22" i="12"/>
  <c r="AH21" i="12"/>
  <c r="AE21" i="12"/>
  <c r="AB21" i="12"/>
  <c r="Y21" i="12"/>
  <c r="V21" i="12"/>
  <c r="S21" i="12"/>
  <c r="P21" i="12"/>
  <c r="M21" i="12"/>
  <c r="J21" i="12"/>
  <c r="D21" i="12"/>
  <c r="AH20" i="12"/>
  <c r="AE20" i="12"/>
  <c r="AB20" i="12"/>
  <c r="Y20" i="12"/>
  <c r="V20" i="12"/>
  <c r="S20" i="12"/>
  <c r="P20" i="12"/>
  <c r="M20" i="12"/>
  <c r="J20" i="12"/>
  <c r="D20" i="12"/>
  <c r="AH19" i="12"/>
  <c r="AE19" i="12"/>
  <c r="AB19" i="12"/>
  <c r="Y19" i="12"/>
  <c r="V19" i="12"/>
  <c r="S19" i="12"/>
  <c r="P19" i="12"/>
  <c r="M19" i="12"/>
  <c r="J19" i="12"/>
  <c r="D19" i="12"/>
  <c r="AH18" i="12"/>
  <c r="AE18" i="12"/>
  <c r="AB18" i="12"/>
  <c r="Y18" i="12"/>
  <c r="V18" i="12"/>
  <c r="S18" i="12"/>
  <c r="P18" i="12"/>
  <c r="M18" i="12"/>
  <c r="J18" i="12"/>
  <c r="G18" i="12"/>
  <c r="D18" i="12"/>
  <c r="AH17" i="12"/>
  <c r="AE17" i="12"/>
  <c r="AB17" i="12"/>
  <c r="Y17" i="12"/>
  <c r="V17" i="12"/>
  <c r="S17" i="12"/>
  <c r="P17" i="12"/>
  <c r="M17" i="12"/>
  <c r="J17" i="12"/>
  <c r="G17" i="12"/>
  <c r="D17" i="12"/>
  <c r="AH16" i="12"/>
  <c r="AE16" i="12"/>
  <c r="AB16" i="12"/>
  <c r="Y16" i="12"/>
  <c r="V16" i="12"/>
  <c r="S16" i="12"/>
  <c r="P16" i="12"/>
  <c r="M16" i="12"/>
  <c r="J16" i="12"/>
  <c r="G16" i="12"/>
  <c r="D16" i="12"/>
  <c r="AH15" i="12"/>
  <c r="AE15" i="12"/>
  <c r="AB15" i="12"/>
  <c r="Y15" i="12"/>
  <c r="V15" i="12"/>
  <c r="S15" i="12"/>
  <c r="P15" i="12"/>
  <c r="M15" i="12"/>
  <c r="J15" i="12"/>
  <c r="G15" i="12"/>
  <c r="D15" i="12"/>
  <c r="AK14" i="12"/>
  <c r="AH14" i="12"/>
  <c r="AE14" i="12"/>
  <c r="AB14" i="12"/>
  <c r="Y14" i="12"/>
  <c r="V14" i="12"/>
  <c r="S14" i="12"/>
  <c r="P14" i="12"/>
  <c r="M14" i="12"/>
  <c r="J14" i="12"/>
  <c r="G14" i="12"/>
  <c r="D14" i="12"/>
  <c r="AK13" i="12"/>
  <c r="AH13" i="12"/>
  <c r="AE13" i="12"/>
  <c r="AB13" i="12"/>
  <c r="Y13" i="12"/>
  <c r="V13" i="12"/>
  <c r="S13" i="12"/>
  <c r="P13" i="12"/>
  <c r="M13" i="12"/>
  <c r="J13" i="12"/>
  <c r="G13" i="12"/>
  <c r="D13" i="12"/>
  <c r="AK12" i="12"/>
  <c r="AH12" i="12"/>
  <c r="AE12" i="12"/>
  <c r="AB12" i="12"/>
  <c r="Y12" i="12"/>
  <c r="V12" i="12"/>
  <c r="S12" i="12"/>
  <c r="P12" i="12"/>
  <c r="M12" i="12"/>
  <c r="J12" i="12"/>
  <c r="G12" i="12"/>
  <c r="D12" i="12"/>
  <c r="AK11" i="12"/>
  <c r="AH11" i="12"/>
  <c r="AE11" i="12"/>
  <c r="AB11" i="12"/>
  <c r="Y11" i="12"/>
  <c r="V11" i="12"/>
  <c r="S11" i="12"/>
  <c r="P11" i="12"/>
  <c r="M11" i="12"/>
  <c r="J11" i="12"/>
  <c r="G11" i="12"/>
  <c r="D11" i="12"/>
  <c r="AK10" i="12"/>
  <c r="AH10" i="12"/>
  <c r="AE10" i="12"/>
  <c r="AB10" i="12"/>
  <c r="Y10" i="12"/>
  <c r="V10" i="12"/>
  <c r="S10" i="12"/>
  <c r="P10" i="12"/>
  <c r="M10" i="12"/>
  <c r="J10" i="12"/>
  <c r="G10" i="12"/>
  <c r="D10" i="12"/>
  <c r="AK9" i="12"/>
  <c r="AH9" i="12"/>
  <c r="AE9" i="12"/>
  <c r="AB9" i="12"/>
  <c r="Y9" i="12"/>
  <c r="V9" i="12"/>
  <c r="S9" i="12"/>
  <c r="P9" i="12"/>
  <c r="M9" i="12"/>
  <c r="J9" i="12"/>
  <c r="G9" i="12"/>
  <c r="D9" i="12"/>
  <c r="AK8" i="12"/>
  <c r="AH8" i="12"/>
  <c r="AE8" i="12"/>
  <c r="AB8" i="12"/>
  <c r="Y8" i="12"/>
  <c r="V8" i="12"/>
  <c r="S8" i="12"/>
  <c r="P8" i="12"/>
  <c r="M8" i="12"/>
  <c r="J8" i="12"/>
  <c r="G8" i="12"/>
  <c r="D8" i="12"/>
  <c r="AK7" i="12"/>
  <c r="AH7" i="12"/>
  <c r="AE7" i="12"/>
  <c r="AB7" i="12"/>
  <c r="Y7" i="12"/>
  <c r="V7" i="12"/>
  <c r="S7" i="12"/>
  <c r="P7" i="12"/>
  <c r="M7" i="12"/>
  <c r="J7" i="12"/>
  <c r="G7" i="12"/>
  <c r="D7" i="12"/>
  <c r="AK6" i="12"/>
  <c r="AK35" i="12" s="1"/>
  <c r="AH6" i="12"/>
  <c r="AH35" i="12" s="1"/>
  <c r="AE6" i="12"/>
  <c r="AE35" i="12" s="1"/>
  <c r="AB6" i="12"/>
  <c r="AB35" i="12" s="1"/>
  <c r="Y6" i="12"/>
  <c r="Y35" i="12" s="1"/>
  <c r="V6" i="12"/>
  <c r="V35" i="12" s="1"/>
  <c r="S6" i="12"/>
  <c r="S35" i="12" s="1"/>
  <c r="P6" i="12"/>
  <c r="P35" i="12" s="1"/>
  <c r="M6" i="12"/>
  <c r="M35" i="12" s="1"/>
  <c r="J6" i="12"/>
  <c r="J35" i="12" s="1"/>
  <c r="G6" i="12"/>
  <c r="G35" i="12" s="1"/>
  <c r="D6" i="12"/>
  <c r="D35" i="12" s="1"/>
  <c r="V118" i="1"/>
  <c r="U118" i="1"/>
  <c r="T118" i="1"/>
  <c r="R118" i="1"/>
  <c r="Q118" i="1"/>
  <c r="N118" i="1"/>
  <c r="M118" i="1"/>
  <c r="L118" i="1"/>
  <c r="K118" i="1"/>
  <c r="J118" i="1"/>
  <c r="I118" i="1"/>
  <c r="E118" i="1"/>
  <c r="C118" i="1"/>
  <c r="D117" i="1"/>
  <c r="D116" i="1"/>
  <c r="D114" i="1"/>
  <c r="D113" i="1"/>
  <c r="D112" i="1"/>
  <c r="D111" i="1"/>
  <c r="D110" i="1"/>
  <c r="D109" i="1"/>
  <c r="D107" i="1"/>
  <c r="D106" i="1"/>
  <c r="AW99" i="1"/>
  <c r="AV99" i="1"/>
  <c r="AU99" i="1"/>
  <c r="AT99" i="1"/>
  <c r="AS99" i="1"/>
  <c r="AR99" i="1"/>
  <c r="AQ99" i="1"/>
  <c r="AP99" i="1"/>
  <c r="AO99" i="1"/>
  <c r="AN99" i="1"/>
  <c r="AM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C99" i="1"/>
  <c r="J99" i="1"/>
  <c r="D157" i="1"/>
  <c r="D156" i="1"/>
  <c r="D155" i="1"/>
  <c r="D154" i="1"/>
  <c r="D153" i="1"/>
  <c r="D152" i="1"/>
  <c r="D151" i="1"/>
  <c r="D150" i="1"/>
  <c r="D149" i="1"/>
  <c r="D146" i="1"/>
  <c r="D147" i="1"/>
  <c r="J127" i="1"/>
  <c r="J128" i="1"/>
  <c r="J129" i="1"/>
  <c r="D148" i="1"/>
  <c r="V158" i="1"/>
  <c r="U158" i="1"/>
  <c r="T158" i="1"/>
  <c r="R158" i="1"/>
  <c r="Q158" i="1"/>
  <c r="N158" i="1"/>
  <c r="M158" i="1"/>
  <c r="L158" i="1"/>
  <c r="K158" i="1"/>
  <c r="J158" i="1"/>
  <c r="I158" i="1"/>
  <c r="E158" i="1"/>
  <c r="C158" i="1"/>
  <c r="AW139" i="1"/>
  <c r="AV139" i="1"/>
  <c r="AU139" i="1"/>
  <c r="AT139" i="1"/>
  <c r="AS139" i="1"/>
  <c r="AR139" i="1"/>
  <c r="AQ139" i="1"/>
  <c r="AP139" i="1"/>
  <c r="AO139" i="1"/>
  <c r="AN139" i="1"/>
  <c r="AM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I139" i="1"/>
  <c r="H139" i="1"/>
  <c r="G139" i="1"/>
  <c r="F139" i="1"/>
  <c r="E139" i="1"/>
  <c r="D139" i="1"/>
  <c r="C139" i="1"/>
  <c r="U179" i="1"/>
  <c r="I179" i="1"/>
  <c r="K179" i="1"/>
  <c r="L179" i="1"/>
  <c r="O179" i="1"/>
  <c r="V198" i="1"/>
  <c r="U198" i="1"/>
  <c r="T198" i="1"/>
  <c r="R198" i="1"/>
  <c r="Q198" i="1"/>
  <c r="N198" i="1"/>
  <c r="M198" i="1"/>
  <c r="L198" i="1"/>
  <c r="K198" i="1"/>
  <c r="J198" i="1"/>
  <c r="I198" i="1"/>
  <c r="E198" i="1"/>
  <c r="D198" i="1"/>
  <c r="C198" i="1"/>
  <c r="AW179" i="1"/>
  <c r="AV179" i="1"/>
  <c r="AU179" i="1"/>
  <c r="AT179" i="1"/>
  <c r="AS179" i="1"/>
  <c r="AR179" i="1"/>
  <c r="AQ179" i="1"/>
  <c r="AP179" i="1"/>
  <c r="AO179" i="1"/>
  <c r="AN179" i="1"/>
  <c r="AM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T179" i="1"/>
  <c r="S179" i="1"/>
  <c r="R179" i="1"/>
  <c r="Q179" i="1"/>
  <c r="P179" i="1"/>
  <c r="N179" i="1"/>
  <c r="M179" i="1"/>
  <c r="J179" i="1"/>
  <c r="H179" i="1"/>
  <c r="G179" i="1"/>
  <c r="F179" i="1"/>
  <c r="E179" i="1"/>
  <c r="C179" i="1"/>
  <c r="V238" i="1"/>
  <c r="U238" i="1"/>
  <c r="T238" i="1"/>
  <c r="R238" i="1"/>
  <c r="Q238" i="1"/>
  <c r="K238" i="1"/>
  <c r="J238" i="1"/>
  <c r="L238" i="1"/>
  <c r="M238" i="1"/>
  <c r="N238" i="1"/>
  <c r="I238" i="1"/>
  <c r="D81" i="1" l="1"/>
  <c r="D19" i="1"/>
  <c r="V19" i="1"/>
  <c r="U39" i="1"/>
  <c r="I40" i="1"/>
  <c r="AB19" i="1"/>
  <c r="P19" i="1"/>
  <c r="J19" i="1"/>
  <c r="D41" i="1"/>
  <c r="D40" i="1"/>
  <c r="O40" i="1"/>
  <c r="D120" i="1"/>
  <c r="D121" i="1"/>
  <c r="D59" i="1"/>
  <c r="AB59" i="1"/>
  <c r="AB49" i="12"/>
  <c r="Y49" i="12"/>
  <c r="V49" i="12"/>
  <c r="M49" i="12"/>
  <c r="P59" i="1"/>
  <c r="J49" i="12"/>
  <c r="G49" i="12"/>
  <c r="J63" i="12"/>
  <c r="V63" i="12"/>
  <c r="AH63" i="12"/>
  <c r="Y63" i="12"/>
  <c r="AK63" i="12"/>
  <c r="P63" i="12"/>
  <c r="AB63" i="12"/>
  <c r="G63" i="12"/>
  <c r="S63" i="12"/>
  <c r="AK49" i="12"/>
  <c r="D80" i="1"/>
  <c r="I80" i="1"/>
  <c r="U79" i="1"/>
  <c r="O80" i="1"/>
  <c r="G59" i="1"/>
  <c r="S59" i="1"/>
  <c r="AE59" i="1"/>
  <c r="Y59" i="1"/>
  <c r="J59" i="1"/>
  <c r="V59" i="1"/>
  <c r="M59" i="1"/>
  <c r="Y100" i="1"/>
  <c r="AE63" i="12"/>
  <c r="M63" i="12"/>
  <c r="V100" i="1"/>
  <c r="S100" i="1"/>
  <c r="AE100" i="1"/>
  <c r="D118" i="1"/>
  <c r="U119" i="1"/>
  <c r="M100" i="1"/>
  <c r="AB100" i="1"/>
  <c r="D100" i="1"/>
  <c r="G100" i="1"/>
  <c r="P100" i="1"/>
  <c r="O120" i="1"/>
  <c r="L120" i="1"/>
  <c r="I120" i="1"/>
  <c r="J100" i="1"/>
  <c r="S140" i="1"/>
  <c r="V140" i="1"/>
  <c r="AB140" i="1"/>
  <c r="D140" i="1"/>
  <c r="Y140" i="1"/>
  <c r="U159" i="1"/>
  <c r="G140" i="1"/>
  <c r="L160" i="1"/>
  <c r="AE140" i="1"/>
  <c r="D158" i="1"/>
  <c r="J139" i="1"/>
  <c r="J140" i="1" s="1"/>
  <c r="M140" i="1"/>
  <c r="I160" i="1"/>
  <c r="O160" i="1"/>
  <c r="D160" i="1"/>
  <c r="P140" i="1"/>
  <c r="D161" i="1"/>
  <c r="V179" i="1"/>
  <c r="V180" i="1" s="1"/>
  <c r="D179" i="1"/>
  <c r="D180" i="1" s="1"/>
  <c r="U199" i="1"/>
  <c r="M180" i="1"/>
  <c r="L200" i="1"/>
  <c r="J180" i="1"/>
  <c r="O200" i="1"/>
  <c r="P180" i="1"/>
  <c r="AB180" i="1"/>
  <c r="AE180" i="1"/>
  <c r="Y180" i="1"/>
  <c r="D200" i="1"/>
  <c r="D201" i="1"/>
  <c r="S180" i="1"/>
  <c r="I200" i="1"/>
  <c r="G180" i="1"/>
  <c r="U239" i="1"/>
  <c r="E238" i="1"/>
  <c r="D238" i="1"/>
  <c r="C238" i="1"/>
  <c r="AW219" i="1"/>
  <c r="AV219" i="1"/>
  <c r="AU219" i="1"/>
  <c r="AT219" i="1"/>
  <c r="AS219" i="1"/>
  <c r="AR219" i="1"/>
  <c r="L240" i="1" s="1"/>
  <c r="AQ219" i="1"/>
  <c r="AP219" i="1"/>
  <c r="I240" i="1" s="1"/>
  <c r="AO219" i="1"/>
  <c r="AN219" i="1"/>
  <c r="AM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D39" i="1" l="1"/>
  <c r="D119" i="1"/>
  <c r="D79" i="1"/>
  <c r="D159" i="1"/>
  <c r="D199" i="1"/>
  <c r="S220" i="1"/>
  <c r="O240" i="1"/>
  <c r="D240" i="1"/>
  <c r="G220" i="1"/>
  <c r="Y220" i="1"/>
  <c r="M220" i="1"/>
  <c r="D241" i="1"/>
  <c r="D220" i="1"/>
  <c r="P220" i="1"/>
  <c r="AB220" i="1"/>
  <c r="J220" i="1"/>
  <c r="V220" i="1"/>
  <c r="AE220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M259" i="1"/>
  <c r="AN259" i="1"/>
  <c r="AO259" i="1"/>
  <c r="AP259" i="1"/>
  <c r="AQ259" i="1"/>
  <c r="AR259" i="1"/>
  <c r="AS259" i="1"/>
  <c r="AT259" i="1"/>
  <c r="AU259" i="1"/>
  <c r="AV259" i="1"/>
  <c r="AW259" i="1"/>
  <c r="C278" i="1"/>
  <c r="D278" i="1"/>
  <c r="E278" i="1"/>
  <c r="G287" i="1"/>
  <c r="K287" i="1"/>
  <c r="E287" i="1" s="1"/>
  <c r="G288" i="1"/>
  <c r="K288" i="1"/>
  <c r="E288" i="1" s="1"/>
  <c r="H289" i="1"/>
  <c r="K289" i="1"/>
  <c r="AC289" i="1"/>
  <c r="AV289" i="1"/>
  <c r="H290" i="1"/>
  <c r="K290" i="1"/>
  <c r="L290" i="1"/>
  <c r="N290" i="1"/>
  <c r="O290" i="1"/>
  <c r="Q290" i="1"/>
  <c r="S290" i="1"/>
  <c r="T290" i="1"/>
  <c r="S260" i="1" l="1"/>
  <c r="D239" i="1"/>
  <c r="G260" i="1"/>
  <c r="V260" i="1"/>
  <c r="J260" i="1"/>
  <c r="AE260" i="1"/>
  <c r="Y260" i="1"/>
  <c r="M260" i="1"/>
  <c r="AB260" i="1"/>
  <c r="P260" i="1"/>
  <c r="D260" i="1"/>
  <c r="E289" i="1"/>
  <c r="E290" i="1"/>
  <c r="D281" i="1"/>
  <c r="D280" i="1"/>
  <c r="D324" i="1"/>
  <c r="D279" i="1" l="1"/>
  <c r="AE299" i="1" l="1"/>
  <c r="AF299" i="1"/>
  <c r="AE300" i="1" l="1"/>
  <c r="AV292" i="1" l="1"/>
  <c r="N292" i="1"/>
  <c r="H292" i="1"/>
  <c r="Q292" i="1"/>
  <c r="K292" i="1"/>
  <c r="E292" i="1" l="1"/>
  <c r="O292" i="1"/>
  <c r="L292" i="1"/>
  <c r="Q291" i="1" l="1"/>
  <c r="H291" i="1"/>
  <c r="N291" i="1"/>
  <c r="K291" i="1"/>
  <c r="AV291" i="1"/>
  <c r="AC291" i="1"/>
  <c r="W291" i="1"/>
  <c r="W299" i="1" s="1"/>
  <c r="E291" i="1" l="1"/>
  <c r="V291" i="1"/>
  <c r="AB291" i="1" l="1"/>
  <c r="O291" i="1"/>
  <c r="P291" i="1" s="1"/>
  <c r="AH299" i="1" l="1"/>
  <c r="AG299" i="1"/>
  <c r="Q299" i="1" l="1"/>
  <c r="N299" i="1"/>
  <c r="T299" i="1"/>
  <c r="AW299" i="1"/>
  <c r="AU299" i="1"/>
  <c r="AT299" i="1"/>
  <c r="AS299" i="1"/>
  <c r="AR299" i="1"/>
  <c r="AQ299" i="1"/>
  <c r="AP299" i="1"/>
  <c r="AO299" i="1"/>
  <c r="AN299" i="1"/>
  <c r="AM299" i="1"/>
  <c r="AK299" i="1"/>
  <c r="AJ299" i="1"/>
  <c r="AI299" i="1"/>
  <c r="AD299" i="1"/>
  <c r="AB299" i="1"/>
  <c r="AA299" i="1"/>
  <c r="Z299" i="1"/>
  <c r="Y299" i="1"/>
  <c r="X299" i="1"/>
  <c r="V299" i="1"/>
  <c r="V300" i="1" s="1"/>
  <c r="U299" i="1"/>
  <c r="R299" i="1"/>
  <c r="P299" i="1"/>
  <c r="M299" i="1"/>
  <c r="S299" i="1"/>
  <c r="O299" i="1"/>
  <c r="L299" i="1"/>
  <c r="AV299" i="1"/>
  <c r="AC299" i="1"/>
  <c r="H299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D322" i="1" l="1"/>
  <c r="D323" i="1"/>
  <c r="Y300" i="1"/>
  <c r="S300" i="1"/>
  <c r="M300" i="1"/>
  <c r="AB300" i="1"/>
  <c r="P300" i="1"/>
  <c r="K299" i="1"/>
  <c r="F292" i="1"/>
  <c r="F291" i="1"/>
  <c r="F290" i="1"/>
  <c r="F289" i="1"/>
  <c r="M336" i="1"/>
  <c r="M342" i="1" s="1"/>
  <c r="L342" i="1"/>
  <c r="V342" i="1"/>
  <c r="E299" i="1" l="1"/>
  <c r="D303" i="1" s="1"/>
  <c r="F299" i="1"/>
  <c r="G290" i="1"/>
  <c r="G291" i="1"/>
  <c r="G292" i="1"/>
  <c r="G289" i="1"/>
  <c r="G299" i="1" l="1"/>
  <c r="G300" i="1" s="1"/>
  <c r="I292" i="1"/>
  <c r="I291" i="1"/>
  <c r="I290" i="1"/>
  <c r="I289" i="1"/>
  <c r="I288" i="1"/>
  <c r="I287" i="1"/>
  <c r="J288" i="1"/>
  <c r="C292" i="1"/>
  <c r="C291" i="1"/>
  <c r="C290" i="1"/>
  <c r="C289" i="1"/>
  <c r="C288" i="1"/>
  <c r="C287" i="1"/>
  <c r="J287" i="1" l="1"/>
  <c r="C299" i="1"/>
  <c r="I299" i="1"/>
  <c r="J292" i="1"/>
  <c r="J291" i="1"/>
  <c r="D288" i="1"/>
  <c r="J289" i="1"/>
  <c r="D291" i="1"/>
  <c r="D287" i="1"/>
  <c r="D289" i="1"/>
  <c r="D290" i="1"/>
  <c r="D292" i="1"/>
  <c r="J290" i="1"/>
  <c r="D302" i="1" l="1"/>
  <c r="J299" i="1"/>
  <c r="J300" i="1" s="1"/>
  <c r="D299" i="1"/>
  <c r="D300" i="1" s="1"/>
  <c r="D301" i="1" l="1"/>
  <c r="S342" i="1"/>
  <c r="Z342" i="1" l="1"/>
  <c r="T342" i="1" l="1"/>
  <c r="G342" i="1"/>
  <c r="AC342" i="1" l="1"/>
  <c r="AB332" i="1" l="1"/>
  <c r="AA332" i="1"/>
  <c r="AB331" i="1"/>
  <c r="AA331" i="1"/>
  <c r="AB330" i="1"/>
  <c r="AA330" i="1"/>
  <c r="AA342" i="1" l="1"/>
  <c r="AB342" i="1"/>
  <c r="X342" i="1"/>
  <c r="W342" i="1"/>
  <c r="Y340" i="1"/>
  <c r="Y338" i="1"/>
  <c r="Y337" i="1"/>
  <c r="Y334" i="1"/>
  <c r="Y332" i="1"/>
  <c r="Y330" i="1"/>
  <c r="Q342" i="1"/>
  <c r="P342" i="1"/>
  <c r="Y342" i="1" l="1"/>
  <c r="K342" i="1"/>
  <c r="J340" i="1" l="1"/>
  <c r="J342" i="1" s="1"/>
  <c r="O342" i="1" l="1"/>
  <c r="N342" i="1"/>
  <c r="H342" i="1"/>
  <c r="I342" i="1"/>
  <c r="E336" i="1" l="1"/>
  <c r="E340" i="1"/>
  <c r="E341" i="1"/>
  <c r="D336" i="1"/>
  <c r="F336" i="1"/>
  <c r="F338" i="1"/>
  <c r="F339" i="1"/>
  <c r="D340" i="1"/>
  <c r="F340" i="1"/>
  <c r="D341" i="1"/>
  <c r="F341" i="1"/>
  <c r="F337" i="1" l="1"/>
  <c r="F335" i="1"/>
  <c r="F332" i="1" l="1"/>
  <c r="F334" i="1"/>
  <c r="F333" i="1"/>
  <c r="E342" i="1" l="1"/>
  <c r="F331" i="1" l="1"/>
  <c r="R331" i="1"/>
  <c r="R342" i="1" s="1"/>
  <c r="F330" i="1" l="1"/>
  <c r="F342" i="1" s="1"/>
  <c r="D342" i="1" l="1"/>
  <c r="D344" i="1" s="1"/>
  <c r="U342" i="1" l="1"/>
  <c r="D343" i="1" s="1"/>
  <c r="C342" i="1"/>
</calcChain>
</file>

<file path=xl/sharedStrings.xml><?xml version="1.0" encoding="utf-8"?>
<sst xmlns="http://schemas.openxmlformats.org/spreadsheetml/2006/main" count="1927" uniqueCount="273">
  <si>
    <t>Měsíc</t>
  </si>
  <si>
    <t>Mališ</t>
  </si>
  <si>
    <t>Frýdecká skládka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</si>
  <si>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</si>
  <si>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</si>
  <si>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</si>
  <si>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</si>
  <si>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</si>
  <si>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</si>
  <si>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</si>
  <si>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</si>
  <si>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</si>
  <si>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</si>
  <si>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</si>
  <si>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</si>
  <si>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</si>
  <si>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Doprava</t>
  </si>
  <si>
    <t>t</t>
  </si>
  <si>
    <t>Kč</t>
  </si>
  <si>
    <t>Nákup, oprava kontejneru</t>
  </si>
  <si>
    <t>Směsný a objemný odpad (kč)</t>
  </si>
  <si>
    <t>Roční bilance odpadu - kontejnery, objemný odpad, separovaný odpad, nebezpečný odpad, BIO odpad…</t>
  </si>
  <si>
    <t>Směsný komunální odpad (t)</t>
  </si>
  <si>
    <t>Objemný odpad (t)</t>
  </si>
  <si>
    <t>Počet vyvezených (ks)</t>
  </si>
  <si>
    <t>Pneumatiky</t>
  </si>
  <si>
    <t>Uložení směsný a objemný (Kč)</t>
  </si>
  <si>
    <t>Sklo</t>
  </si>
  <si>
    <t>Kov</t>
  </si>
  <si>
    <t>Datum</t>
  </si>
  <si>
    <t>2.1.</t>
  </si>
  <si>
    <t>29.1.</t>
  </si>
  <si>
    <t>Měsíční bilance směsného komunálního odpadu  - kontejnery</t>
  </si>
  <si>
    <t>7.2.</t>
  </si>
  <si>
    <t>12.2.</t>
  </si>
  <si>
    <t>Cena v kč s DPH za t:</t>
  </si>
  <si>
    <t>9.1.</t>
  </si>
  <si>
    <t>24.1.</t>
  </si>
  <si>
    <t>28.2.</t>
  </si>
  <si>
    <t>6.3.</t>
  </si>
  <si>
    <t>14.3.</t>
  </si>
  <si>
    <t>21.3.</t>
  </si>
  <si>
    <t>27.3.</t>
  </si>
  <si>
    <t>3.4.</t>
  </si>
  <si>
    <t>4.4.</t>
  </si>
  <si>
    <t>10.4.</t>
  </si>
  <si>
    <t>11.4.</t>
  </si>
  <si>
    <t>13.6.</t>
  </si>
  <si>
    <t>19.6.</t>
  </si>
  <si>
    <t>26.6.</t>
  </si>
  <si>
    <t>25.4.</t>
  </si>
  <si>
    <t>2.5.</t>
  </si>
  <si>
    <t>12.5.</t>
  </si>
  <si>
    <t>16.5.</t>
  </si>
  <si>
    <t>23.5.</t>
  </si>
  <si>
    <t>2.6.</t>
  </si>
  <si>
    <t>20.6.</t>
  </si>
  <si>
    <t>27.6.</t>
  </si>
  <si>
    <t>7.7.</t>
  </si>
  <si>
    <t>11.7.</t>
  </si>
  <si>
    <t>18.7.</t>
  </si>
  <si>
    <t>24.7.</t>
  </si>
  <si>
    <t>Jiný biologický nerozložitelný odpad</t>
  </si>
  <si>
    <t>Biologicky rozložitelný odpad</t>
  </si>
  <si>
    <t>28.7.</t>
  </si>
  <si>
    <t>31.7.</t>
  </si>
  <si>
    <t>Odměna od      EKO-KOMu za separovaný sběr</t>
  </si>
  <si>
    <t>1.8.</t>
  </si>
  <si>
    <t>11.8.</t>
  </si>
  <si>
    <t>18.8.</t>
  </si>
  <si>
    <t>22.8.</t>
  </si>
  <si>
    <t>25.8.</t>
  </si>
  <si>
    <t>28.8.</t>
  </si>
  <si>
    <t>1.9.</t>
  </si>
  <si>
    <t>11.9.</t>
  </si>
  <si>
    <t>19.9.</t>
  </si>
  <si>
    <t>25.9.</t>
  </si>
  <si>
    <t>29.9.</t>
  </si>
  <si>
    <t>3.10.</t>
  </si>
  <si>
    <t>7.10.</t>
  </si>
  <si>
    <t>9.10.</t>
  </si>
  <si>
    <t>17.10.</t>
  </si>
  <si>
    <t>21.10.</t>
  </si>
  <si>
    <t>24.10.</t>
  </si>
  <si>
    <t>30.10.</t>
  </si>
  <si>
    <t>31.10.</t>
  </si>
  <si>
    <t>6.11.</t>
  </si>
  <si>
    <t>10.11.</t>
  </si>
  <si>
    <t>14.11.</t>
  </si>
  <si>
    <t>20.11.</t>
  </si>
  <si>
    <t>Plasty</t>
  </si>
  <si>
    <t>Papír a lepenka</t>
  </si>
  <si>
    <t>Odměna za kov</t>
  </si>
  <si>
    <t>kg</t>
  </si>
  <si>
    <t>Textil (TextilEco, a.s.)</t>
  </si>
  <si>
    <t>2017 s DPH</t>
  </si>
  <si>
    <t>2018 s DPH</t>
  </si>
  <si>
    <t>Odměna od Elektrowinu za elektro odpad</t>
  </si>
  <si>
    <t>Kč bez DPH</t>
  </si>
  <si>
    <t>Separovaný odpad - zvony</t>
  </si>
  <si>
    <t>Papír a lepenka - škola</t>
  </si>
  <si>
    <t>Odměna od ASEKOLu za elektro odpad</t>
  </si>
  <si>
    <t>Měsíční bilance objemného odpadu  - sběrný dvůr</t>
  </si>
  <si>
    <t>7.4.</t>
  </si>
  <si>
    <t>17.4.</t>
  </si>
  <si>
    <t>23.4.</t>
  </si>
  <si>
    <t>14.5.</t>
  </si>
  <si>
    <t>6.8.</t>
  </si>
  <si>
    <t>14.8.</t>
  </si>
  <si>
    <t>3.9.</t>
  </si>
  <si>
    <t>6.10.</t>
  </si>
  <si>
    <t>19.11.</t>
  </si>
  <si>
    <t>17.12.</t>
  </si>
  <si>
    <t>19.12.</t>
  </si>
  <si>
    <t>Nebezpečný odpad (barvy, oleje..) - uložení, doprava</t>
  </si>
  <si>
    <t>2019 s DPH</t>
  </si>
  <si>
    <t>Frýdecká skládka Kč)</t>
  </si>
  <si>
    <t>DOPRAVA</t>
  </si>
  <si>
    <t>Směsný komunální odpad (SKO)</t>
  </si>
  <si>
    <t>SKO (t)</t>
  </si>
  <si>
    <t>Uložení SKO (Kč)</t>
  </si>
  <si>
    <t>Doprava SKO (kč)</t>
  </si>
  <si>
    <t>Uložení objemný odpad (Kč)</t>
  </si>
  <si>
    <t>Doprava objemný odpad (kč)</t>
  </si>
  <si>
    <t>Směsný komunální odpad (SKO) - SD</t>
  </si>
  <si>
    <t>Objemný odpad - SD</t>
  </si>
  <si>
    <t>NO (t)</t>
  </si>
  <si>
    <t>Likvidace NO (Kč)</t>
  </si>
  <si>
    <t>Doprava NO (Kč)</t>
  </si>
  <si>
    <t>BRKO - SD</t>
  </si>
  <si>
    <t>Nebezpečný odpad (barva, oleje) - SD</t>
  </si>
  <si>
    <t>BRKO (t)</t>
  </si>
  <si>
    <t>Likvidace BRKO (Kč)</t>
  </si>
  <si>
    <t>Doprava BRKO (Kč)</t>
  </si>
  <si>
    <t>DŘEVO - SD</t>
  </si>
  <si>
    <t>DŘEVO (t)</t>
  </si>
  <si>
    <t>Likvidace DŘEVO (Kč)</t>
  </si>
  <si>
    <t>Doprava DŘEVO (Kč)</t>
  </si>
  <si>
    <t>PNEUMATIKY - SD</t>
  </si>
  <si>
    <t>PNEU (t)</t>
  </si>
  <si>
    <t>Likvidace PNEU (Kč)</t>
  </si>
  <si>
    <t>Doprava PNEU (Kč)</t>
  </si>
  <si>
    <t>Měsíční bilance směsného komunálního odpadu  - sběrný dvůr</t>
  </si>
  <si>
    <t>11.3.</t>
  </si>
  <si>
    <t>18.3.</t>
  </si>
  <si>
    <t>KOVY</t>
  </si>
  <si>
    <t>Kovy (t)</t>
  </si>
  <si>
    <t>Doprava KOVY (Kč)</t>
  </si>
  <si>
    <t>Odměna za kov (Kč)</t>
  </si>
  <si>
    <t>HK Šrot</t>
  </si>
  <si>
    <t>Frýdecká skládka (Kč)</t>
  </si>
  <si>
    <t>FS</t>
  </si>
  <si>
    <t>Nepoužitelná léčiva</t>
  </si>
  <si>
    <t>29.4.</t>
  </si>
  <si>
    <t>Směsné stavební a demoliční odpady - SD</t>
  </si>
  <si>
    <t>Směsné stavební a demoliční odpady (t)</t>
  </si>
  <si>
    <t>Likvidace 170904 (Kč)</t>
  </si>
  <si>
    <t>Doprava 170904 (Kč)</t>
  </si>
  <si>
    <t>CIHLY - SD</t>
  </si>
  <si>
    <t>BETON - SD</t>
  </si>
  <si>
    <t>CIHLY (t)</t>
  </si>
  <si>
    <t>Likvidace CIHLY (Kč)</t>
  </si>
  <si>
    <t>Doprava CIHLY (Kč)</t>
  </si>
  <si>
    <t>BETON (t)</t>
  </si>
  <si>
    <t>Likvidace BETON (Kč)</t>
  </si>
  <si>
    <t>Doprava BETON (Kč)</t>
  </si>
  <si>
    <t>6.5.</t>
  </si>
  <si>
    <t>Baterie</t>
  </si>
  <si>
    <t>EcoBat</t>
  </si>
  <si>
    <t>Baterie (t)</t>
  </si>
  <si>
    <t>Doprava (Kč)</t>
  </si>
  <si>
    <t>Likvidace (Kč)</t>
  </si>
  <si>
    <t>Nepoužitelná léčiva (léčiva)</t>
  </si>
  <si>
    <t>Nákup, oprava kontejneru, pronájem</t>
  </si>
  <si>
    <t>29.5.</t>
  </si>
  <si>
    <t>3.6.</t>
  </si>
  <si>
    <t>24.6.</t>
  </si>
  <si>
    <t>1.7.</t>
  </si>
  <si>
    <t>16.9.</t>
  </si>
  <si>
    <t>30.9.</t>
  </si>
  <si>
    <t>9.9.</t>
  </si>
  <si>
    <t>18.11.</t>
  </si>
  <si>
    <t>4.11.</t>
  </si>
  <si>
    <t>2020 s DPH</t>
  </si>
  <si>
    <t>20.1.</t>
  </si>
  <si>
    <t>3.2.</t>
  </si>
  <si>
    <t>24.2.</t>
  </si>
  <si>
    <t>31.3.</t>
  </si>
  <si>
    <t>4.3.</t>
  </si>
  <si>
    <t>14.4.</t>
  </si>
  <si>
    <t>22.4.</t>
  </si>
  <si>
    <t>28.4.</t>
  </si>
  <si>
    <t>26.5.</t>
  </si>
  <si>
    <t>16.6.</t>
  </si>
  <si>
    <t>23.6.</t>
  </si>
  <si>
    <t>9.6.</t>
  </si>
  <si>
    <t>14.7.</t>
  </si>
  <si>
    <t>15.9.</t>
  </si>
  <si>
    <t>22.9.</t>
  </si>
  <si>
    <t>13.10.</t>
  </si>
  <si>
    <t>20.10.</t>
  </si>
  <si>
    <t>24.11.</t>
  </si>
  <si>
    <t>Celková likvidace</t>
  </si>
  <si>
    <t>Celkem 2019</t>
  </si>
  <si>
    <t>Celkem 2020</t>
  </si>
  <si>
    <t xml:space="preserve"> </t>
  </si>
  <si>
    <t>Tun na skládku</t>
  </si>
  <si>
    <t>Doprava celkem</t>
  </si>
  <si>
    <t>Celkem 2017</t>
  </si>
  <si>
    <t>2019            2019</t>
  </si>
  <si>
    <t>2018            2018</t>
  </si>
  <si>
    <t>2017            2017</t>
  </si>
  <si>
    <t>Roční bilance směsného komunálního odpadu - popelnice</t>
  </si>
  <si>
    <t>Množství (t)</t>
  </si>
  <si>
    <t>Uložení FS (Kč)</t>
  </si>
  <si>
    <t>Poznámky</t>
  </si>
  <si>
    <t>2021                             2021                                  2021</t>
  </si>
  <si>
    <t>2020                                 2020                             2020</t>
  </si>
  <si>
    <t>Roční bilance odpadu</t>
  </si>
  <si>
    <t>2021 s DPH</t>
  </si>
  <si>
    <t>Celkem 2021</t>
  </si>
  <si>
    <t>1.12.</t>
  </si>
  <si>
    <t>22.12.</t>
  </si>
  <si>
    <t>51706,,45</t>
  </si>
  <si>
    <t>Plast (t)</t>
  </si>
  <si>
    <t>Převzetí Kč</t>
  </si>
  <si>
    <t xml:space="preserve">Sklo (t) </t>
  </si>
  <si>
    <t xml:space="preserve">SKO (t) </t>
  </si>
  <si>
    <t>Svoz Boneti na AVE FnO.</t>
  </si>
  <si>
    <t>Výkup Kč</t>
  </si>
  <si>
    <t>AVE</t>
  </si>
  <si>
    <t>Svoz plastů popelnice</t>
  </si>
  <si>
    <t>FM skládka</t>
  </si>
  <si>
    <t>Směsný komunální odpad SKO velkoobj.</t>
  </si>
  <si>
    <t>Směsný komunální odpad SKO. Velkoobj.</t>
  </si>
  <si>
    <t>Směsný komunální odpad SKO - SD</t>
  </si>
  <si>
    <t>Plast</t>
  </si>
  <si>
    <t>SKO</t>
  </si>
  <si>
    <t>Tabulové sklo SD</t>
  </si>
  <si>
    <t>sklo (t)</t>
  </si>
  <si>
    <t>výkup Kč sklo (Kč)</t>
  </si>
  <si>
    <t xml:space="preserve">                                                                                                                                    </t>
  </si>
  <si>
    <t xml:space="preserve">                                                                                                </t>
  </si>
  <si>
    <t>2022                             2022                                2022</t>
  </si>
  <si>
    <t>2022 s DPH</t>
  </si>
  <si>
    <t>leden</t>
  </si>
  <si>
    <t>březen</t>
  </si>
  <si>
    <t>duben</t>
  </si>
  <si>
    <t>květen</t>
  </si>
  <si>
    <t>červen</t>
  </si>
  <si>
    <t>červenec</t>
  </si>
  <si>
    <t>srpen</t>
  </si>
  <si>
    <t>září</t>
  </si>
  <si>
    <t>řijen</t>
  </si>
  <si>
    <t>říjen</t>
  </si>
  <si>
    <t>2023                             2023                              2023</t>
  </si>
  <si>
    <t>2023 s DPH</t>
  </si>
  <si>
    <t>Celkem 2023</t>
  </si>
  <si>
    <t>Celkem 2022</t>
  </si>
  <si>
    <t>listopad</t>
  </si>
  <si>
    <t>prosinec</t>
  </si>
  <si>
    <t>30.6.</t>
  </si>
  <si>
    <t>2024                             2024                              2024</t>
  </si>
  <si>
    <t>2024 s DPH</t>
  </si>
  <si>
    <t>Celkem 2024</t>
  </si>
  <si>
    <t>15.12.</t>
  </si>
  <si>
    <t>Doprava  (Kč)</t>
  </si>
  <si>
    <t>2025 s DPH</t>
  </si>
  <si>
    <t>Celkem 2025</t>
  </si>
  <si>
    <t>Papír  tetrapack</t>
  </si>
  <si>
    <t>2026 s DPH</t>
  </si>
  <si>
    <t>Celkem 2026</t>
  </si>
  <si>
    <t>8.12.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</si>
</sst>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č&quot;"/>
    <numFmt numFmtId="165" formatCode="#,##0.000"/>
    <numFmt numFmtId="166" formatCode="#,##0.0000"/>
    <numFmt numFmtId="167" formatCode="#,##0\ _K_č"/>
    <numFmt numFmtId="168" formatCode="#,##0\ &quot;Kč&quot;"/>
    <numFmt numFmtId="169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auto="1"/>
      </right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5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164" fontId="0" fillId="0" borderId="6" xfId="0" applyNumberFormat="1" applyBorder="1"/>
    <xf numFmtId="0" fontId="1" fillId="0" borderId="1" xfId="0" applyFont="1" applyBorder="1"/>
    <xf numFmtId="0" fontId="1" fillId="0" borderId="2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64" fontId="0" fillId="0" borderId="3" xfId="0" applyNumberFormat="1" applyBorder="1"/>
    <xf numFmtId="0" fontId="1" fillId="0" borderId="11" xfId="0" applyFont="1" applyBorder="1" applyAlignment="1">
      <alignment horizontal="center" wrapText="1"/>
    </xf>
    <xf numFmtId="4" fontId="0" fillId="0" borderId="2" xfId="0" applyNumberFormat="1" applyBorder="1"/>
    <xf numFmtId="4" fontId="0" fillId="0" borderId="5" xfId="0" applyNumberFormat="1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/>
    </xf>
    <xf numFmtId="16" fontId="0" fillId="0" borderId="4" xfId="0" applyNumberFormat="1" applyBorder="1" applyAlignment="1">
      <alignment horizontal="right"/>
    </xf>
    <xf numFmtId="0" fontId="0" fillId="0" borderId="0" xfId="0" applyAlignment="1">
      <alignment horizontal="center"/>
    </xf>
    <xf numFmtId="2" fontId="0" fillId="0" borderId="5" xfId="0" applyNumberFormat="1" applyBorder="1"/>
    <xf numFmtId="0" fontId="5" fillId="0" borderId="5" xfId="0" applyFont="1" applyBorder="1"/>
    <xf numFmtId="4" fontId="0" fillId="0" borderId="0" xfId="0" applyNumberFormat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/>
    <xf numFmtId="2" fontId="0" fillId="0" borderId="6" xfId="0" applyNumberFormat="1" applyBorder="1"/>
    <xf numFmtId="16" fontId="0" fillId="0" borderId="4" xfId="0" applyNumberFormat="1" applyBorder="1"/>
    <xf numFmtId="0" fontId="0" fillId="0" borderId="9" xfId="0" applyBorder="1"/>
    <xf numFmtId="0" fontId="0" fillId="0" borderId="15" xfId="0" applyBorder="1" applyAlignment="1">
      <alignment horizontal="right"/>
    </xf>
    <xf numFmtId="0" fontId="0" fillId="0" borderId="16" xfId="0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15" xfId="0" applyBorder="1"/>
    <xf numFmtId="2" fontId="0" fillId="0" borderId="18" xfId="0" applyNumberFormat="1" applyBorder="1"/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0" xfId="0" applyNumberFormat="1" applyBorder="1"/>
    <xf numFmtId="2" fontId="0" fillId="0" borderId="23" xfId="0" applyNumberFormat="1" applyBorder="1"/>
    <xf numFmtId="2" fontId="5" fillId="0" borderId="5" xfId="0" applyNumberFormat="1" applyFont="1" applyBorder="1"/>
    <xf numFmtId="16" fontId="0" fillId="0" borderId="14" xfId="0" applyNumberFormat="1" applyBorder="1"/>
    <xf numFmtId="165" fontId="0" fillId="0" borderId="2" xfId="0" applyNumberFormat="1" applyBorder="1"/>
    <xf numFmtId="165" fontId="0" fillId="0" borderId="5" xfId="0" applyNumberFormat="1" applyBorder="1"/>
    <xf numFmtId="0" fontId="5" fillId="0" borderId="16" xfId="0" applyFont="1" applyBorder="1"/>
    <xf numFmtId="164" fontId="0" fillId="0" borderId="16" xfId="0" applyNumberFormat="1" applyBorder="1"/>
    <xf numFmtId="165" fontId="0" fillId="0" borderId="16" xfId="0" applyNumberFormat="1" applyBorder="1"/>
    <xf numFmtId="4" fontId="0" fillId="0" borderId="16" xfId="0" applyNumberFormat="1" applyBorder="1"/>
    <xf numFmtId="164" fontId="0" fillId="0" borderId="18" xfId="0" applyNumberFormat="1" applyBorder="1"/>
    <xf numFmtId="0" fontId="1" fillId="0" borderId="21" xfId="0" applyFont="1" applyBorder="1"/>
    <xf numFmtId="164" fontId="0" fillId="0" borderId="21" xfId="0" applyNumberFormat="1" applyBorder="1"/>
    <xf numFmtId="165" fontId="0" fillId="0" borderId="21" xfId="0" applyNumberFormat="1" applyBorder="1"/>
    <xf numFmtId="4" fontId="0" fillId="0" borderId="21" xfId="0" applyNumberFormat="1" applyBorder="1"/>
    <xf numFmtId="164" fontId="0" fillId="0" borderId="23" xfId="0" applyNumberFormat="1" applyBorder="1"/>
    <xf numFmtId="164" fontId="1" fillId="0" borderId="23" xfId="0" applyNumberFormat="1" applyFont="1" applyBorder="1"/>
    <xf numFmtId="166" fontId="0" fillId="0" borderId="6" xfId="0" applyNumberFormat="1" applyBorder="1"/>
    <xf numFmtId="166" fontId="0" fillId="0" borderId="18" xfId="0" applyNumberFormat="1" applyBorder="1"/>
    <xf numFmtId="166" fontId="0" fillId="0" borderId="23" xfId="0" applyNumberFormat="1" applyBorder="1"/>
    <xf numFmtId="167" fontId="0" fillId="0" borderId="6" xfId="0" applyNumberFormat="1" applyBorder="1"/>
    <xf numFmtId="167" fontId="0" fillId="0" borderId="18" xfId="0" applyNumberFormat="1" applyBorder="1"/>
    <xf numFmtId="167" fontId="0" fillId="0" borderId="23" xfId="0" applyNumberFormat="1" applyBorder="1"/>
    <xf numFmtId="0" fontId="0" fillId="0" borderId="28" xfId="0" applyBorder="1"/>
    <xf numFmtId="2" fontId="5" fillId="0" borderId="16" xfId="0" applyNumberFormat="1" applyFont="1" applyBorder="1"/>
    <xf numFmtId="168" fontId="0" fillId="0" borderId="23" xfId="0" applyNumberFormat="1" applyBorder="1"/>
    <xf numFmtId="0" fontId="1" fillId="0" borderId="9" xfId="0" applyFont="1" applyBorder="1" applyAlignment="1">
      <alignment horizontal="center"/>
    </xf>
    <xf numFmtId="0" fontId="0" fillId="0" borderId="29" xfId="0" applyBorder="1"/>
    <xf numFmtId="0" fontId="0" fillId="0" borderId="24" xfId="0" applyBorder="1"/>
    <xf numFmtId="0" fontId="0" fillId="0" borderId="30" xfId="0" applyBorder="1"/>
    <xf numFmtId="0" fontId="2" fillId="0" borderId="3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164" fontId="0" fillId="0" borderId="8" xfId="0" applyNumberFormat="1" applyBorder="1"/>
    <xf numFmtId="164" fontId="0" fillId="0" borderId="28" xfId="0" applyNumberFormat="1" applyBorder="1"/>
    <xf numFmtId="0" fontId="2" fillId="0" borderId="7" xfId="0" applyFont="1" applyBorder="1" applyAlignment="1">
      <alignment horizontal="center"/>
    </xf>
    <xf numFmtId="2" fontId="5" fillId="0" borderId="4" xfId="0" applyNumberFormat="1" applyFont="1" applyBorder="1"/>
    <xf numFmtId="2" fontId="5" fillId="0" borderId="7" xfId="0" applyNumberFormat="1" applyFont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9" xfId="0" applyNumberFormat="1" applyBorder="1"/>
    <xf numFmtId="2" fontId="0" fillId="0" borderId="4" xfId="0" applyNumberFormat="1" applyBorder="1"/>
    <xf numFmtId="2" fontId="0" fillId="0" borderId="7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165" fontId="0" fillId="0" borderId="7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7" xfId="0" applyNumberFormat="1" applyBorder="1"/>
    <xf numFmtId="2" fontId="0" fillId="0" borderId="0" xfId="0" applyNumberFormat="1"/>
    <xf numFmtId="164" fontId="0" fillId="0" borderId="33" xfId="0" applyNumberFormat="1" applyBorder="1"/>
    <xf numFmtId="0" fontId="0" fillId="0" borderId="34" xfId="0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31" xfId="0" applyNumberFormat="1" applyBorder="1"/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44" xfId="0" applyBorder="1"/>
    <xf numFmtId="164" fontId="0" fillId="0" borderId="45" xfId="0" applyNumberFormat="1" applyBorder="1"/>
    <xf numFmtId="0" fontId="0" fillId="0" borderId="40" xfId="0" applyBorder="1"/>
    <xf numFmtId="164" fontId="0" fillId="0" borderId="41" xfId="0" applyNumberFormat="1" applyBorder="1"/>
    <xf numFmtId="2" fontId="0" fillId="0" borderId="40" xfId="0" applyNumberFormat="1" applyBorder="1"/>
    <xf numFmtId="2" fontId="5" fillId="0" borderId="40" xfId="0" applyNumberFormat="1" applyFont="1" applyBorder="1"/>
    <xf numFmtId="2" fontId="5" fillId="0" borderId="42" xfId="0" applyNumberFormat="1" applyFont="1" applyBorder="1"/>
    <xf numFmtId="164" fontId="0" fillId="0" borderId="43" xfId="0" applyNumberFormat="1" applyBorder="1"/>
    <xf numFmtId="0" fontId="1" fillId="0" borderId="46" xfId="0" applyFont="1" applyBorder="1"/>
    <xf numFmtId="0" fontId="1" fillId="0" borderId="47" xfId="0" applyFont="1" applyBorder="1"/>
    <xf numFmtId="164" fontId="0" fillId="0" borderId="32" xfId="0" applyNumberFormat="1" applyBorder="1"/>
    <xf numFmtId="164" fontId="0" fillId="0" borderId="50" xfId="0" applyNumberFormat="1" applyBorder="1"/>
    <xf numFmtId="165" fontId="0" fillId="0" borderId="32" xfId="0" applyNumberFormat="1" applyBorder="1"/>
    <xf numFmtId="164" fontId="1" fillId="0" borderId="51" xfId="0" applyNumberFormat="1" applyFont="1" applyBorder="1"/>
    <xf numFmtId="166" fontId="0" fillId="0" borderId="52" xfId="0" applyNumberFormat="1" applyBorder="1"/>
    <xf numFmtId="166" fontId="0" fillId="0" borderId="53" xfId="0" applyNumberFormat="1" applyBorder="1"/>
    <xf numFmtId="166" fontId="0" fillId="0" borderId="51" xfId="0" applyNumberForma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7" fontId="0" fillId="0" borderId="0" xfId="0" applyNumberFormat="1"/>
    <xf numFmtId="0" fontId="2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 wrapText="1"/>
    </xf>
    <xf numFmtId="167" fontId="0" fillId="0" borderId="54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164" fontId="0" fillId="0" borderId="55" xfId="0" applyNumberFormat="1" applyBorder="1"/>
    <xf numFmtId="164" fontId="0" fillId="0" borderId="22" xfId="0" applyNumberFormat="1" applyBorder="1"/>
    <xf numFmtId="0" fontId="0" fillId="0" borderId="59" xfId="0" applyBorder="1"/>
    <xf numFmtId="0" fontId="2" fillId="0" borderId="60" xfId="0" applyFont="1" applyBorder="1" applyAlignment="1">
      <alignment horizontal="center"/>
    </xf>
    <xf numFmtId="167" fontId="0" fillId="0" borderId="58" xfId="0" applyNumberFormat="1" applyBorder="1"/>
    <xf numFmtId="167" fontId="0" fillId="0" borderId="57" xfId="0" applyNumberFormat="1" applyBorder="1"/>
    <xf numFmtId="164" fontId="7" fillId="0" borderId="6" xfId="0" applyNumberFormat="1" applyFont="1" applyBorder="1"/>
    <xf numFmtId="0" fontId="0" fillId="0" borderId="23" xfId="0" applyBorder="1"/>
    <xf numFmtId="0" fontId="0" fillId="0" borderId="54" xfId="0" applyBorder="1"/>
    <xf numFmtId="167" fontId="0" fillId="0" borderId="53" xfId="0" applyNumberFormat="1" applyBorder="1"/>
    <xf numFmtId="0" fontId="0" fillId="0" borderId="62" xfId="0" applyBorder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8" fontId="0" fillId="0" borderId="0" xfId="0" applyNumberFormat="1"/>
    <xf numFmtId="164" fontId="1" fillId="0" borderId="0" xfId="0" applyNumberFormat="1" applyFont="1"/>
    <xf numFmtId="166" fontId="0" fillId="0" borderId="0" xfId="0" applyNumberFormat="1"/>
    <xf numFmtId="0" fontId="1" fillId="0" borderId="52" xfId="0" applyFont="1" applyBorder="1"/>
    <xf numFmtId="164" fontId="0" fillId="0" borderId="65" xfId="0" applyNumberFormat="1" applyBorder="1"/>
    <xf numFmtId="4" fontId="1" fillId="0" borderId="35" xfId="0" applyNumberFormat="1" applyFont="1" applyBorder="1"/>
    <xf numFmtId="4" fontId="1" fillId="0" borderId="21" xfId="0" applyNumberFormat="1" applyFont="1" applyBorder="1"/>
    <xf numFmtId="4" fontId="0" fillId="0" borderId="52" xfId="0" applyNumberFormat="1" applyBorder="1"/>
    <xf numFmtId="165" fontId="0" fillId="0" borderId="49" xfId="0" applyNumberFormat="1" applyBorder="1"/>
    <xf numFmtId="165" fontId="0" fillId="0" borderId="52" xfId="0" applyNumberFormat="1" applyBorder="1"/>
    <xf numFmtId="0" fontId="1" fillId="0" borderId="66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165" fontId="0" fillId="0" borderId="50" xfId="0" applyNumberFormat="1" applyBorder="1"/>
    <xf numFmtId="164" fontId="1" fillId="0" borderId="53" xfId="0" applyNumberFormat="1" applyFont="1" applyBorder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70" xfId="0" applyNumberFormat="1" applyBorder="1"/>
    <xf numFmtId="168" fontId="0" fillId="0" borderId="71" xfId="0" applyNumberFormat="1" applyBorder="1"/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54" xfId="0" applyFont="1" applyBorder="1" applyAlignment="1">
      <alignment horizontal="center" wrapText="1"/>
    </xf>
    <xf numFmtId="0" fontId="1" fillId="0" borderId="63" xfId="0" applyFont="1" applyBorder="1" applyAlignment="1">
      <alignment horizontal="center"/>
    </xf>
    <xf numFmtId="0" fontId="8" fillId="0" borderId="5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25" xfId="0" applyBorder="1"/>
    <xf numFmtId="0" fontId="0" fillId="0" borderId="77" xfId="0" applyBorder="1"/>
    <xf numFmtId="0" fontId="1" fillId="0" borderId="32" xfId="0" applyFont="1" applyBorder="1"/>
    <xf numFmtId="164" fontId="8" fillId="0" borderId="53" xfId="0" applyNumberFormat="1" applyFont="1" applyBorder="1" applyAlignment="1">
      <alignment horizontal="left"/>
    </xf>
    <xf numFmtId="4" fontId="8" fillId="0" borderId="72" xfId="0" applyNumberFormat="1" applyFont="1" applyBorder="1" applyAlignment="1">
      <alignment horizontal="left"/>
    </xf>
    <xf numFmtId="164" fontId="8" fillId="0" borderId="69" xfId="0" applyNumberFormat="1" applyFont="1" applyBorder="1" applyAlignment="1">
      <alignment horizontal="left"/>
    </xf>
    <xf numFmtId="0" fontId="11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2" fontId="0" fillId="0" borderId="2" xfId="0" applyNumberFormat="1" applyBorder="1"/>
    <xf numFmtId="164" fontId="1" fillId="0" borderId="32" xfId="0" applyNumberFormat="1" applyFont="1" applyBorder="1"/>
    <xf numFmtId="0" fontId="0" fillId="0" borderId="51" xfId="0" applyBorder="1"/>
    <xf numFmtId="0" fontId="3" fillId="0" borderId="54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0" fillId="0" borderId="82" xfId="0" applyBorder="1"/>
    <xf numFmtId="0" fontId="0" fillId="0" borderId="52" xfId="0" applyBorder="1"/>
    <xf numFmtId="0" fontId="3" fillId="0" borderId="14" xfId="0" applyFont="1" applyBorder="1"/>
    <xf numFmtId="0" fontId="1" fillId="0" borderId="14" xfId="0" applyFont="1" applyBorder="1"/>
    <xf numFmtId="0" fontId="0" fillId="0" borderId="31" xfId="0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" fillId="0" borderId="49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7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1" fillId="0" borderId="70" xfId="0" applyFont="1" applyBorder="1" applyAlignment="1">
      <alignment horizontal="right" vertical="center"/>
    </xf>
    <xf numFmtId="164" fontId="1" fillId="0" borderId="70" xfId="0" applyNumberFormat="1" applyFont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164" fontId="8" fillId="0" borderId="75" xfId="0" applyNumberFormat="1" applyFont="1" applyBorder="1" applyAlignment="1">
      <alignment horizontal="left"/>
    </xf>
    <xf numFmtId="4" fontId="8" fillId="0" borderId="56" xfId="0" applyNumberFormat="1" applyFont="1" applyBorder="1" applyAlignment="1">
      <alignment horizontal="left" vertical="center"/>
    </xf>
    <xf numFmtId="164" fontId="8" fillId="0" borderId="76" xfId="0" applyNumberFormat="1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14" xfId="0" applyFont="1" applyBorder="1" applyAlignment="1">
      <alignment vertical="center" wrapText="1"/>
    </xf>
    <xf numFmtId="164" fontId="14" fillId="0" borderId="70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vertical="center"/>
    </xf>
    <xf numFmtId="164" fontId="5" fillId="0" borderId="28" xfId="0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4" fillId="0" borderId="70" xfId="0" applyFont="1" applyBorder="1" applyAlignment="1">
      <alignment vertical="center" wrapText="1"/>
    </xf>
    <xf numFmtId="164" fontId="14" fillId="0" borderId="71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169" fontId="0" fillId="0" borderId="4" xfId="0" applyNumberFormat="1" applyBorder="1" applyAlignment="1">
      <alignment vertical="center"/>
    </xf>
    <xf numFmtId="169" fontId="1" fillId="0" borderId="70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0" fillId="0" borderId="6" xfId="0" applyNumberForma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0" fontId="1" fillId="0" borderId="66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166" fontId="15" fillId="0" borderId="80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19" fillId="0" borderId="80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19" fillId="0" borderId="80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4" fontId="0" fillId="0" borderId="34" xfId="0" applyNumberForma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1" fillId="0" borderId="78" xfId="0" applyNumberFormat="1" applyFont="1" applyBorder="1"/>
    <xf numFmtId="164" fontId="0" fillId="0" borderId="71" xfId="0" applyNumberFormat="1" applyBorder="1"/>
    <xf numFmtId="4" fontId="0" fillId="0" borderId="7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72" xfId="0" applyFont="1" applyBorder="1" applyAlignment="1">
      <alignment horizontal="center" wrapText="1"/>
    </xf>
    <xf numFmtId="2" fontId="0" fillId="0" borderId="1" xfId="0" applyNumberFormat="1" applyBorder="1"/>
    <xf numFmtId="2" fontId="0" fillId="0" borderId="15" xfId="0" applyNumberFormat="1" applyBorder="1"/>
    <xf numFmtId="164" fontId="5" fillId="0" borderId="6" xfId="0" applyNumberFormat="1" applyFont="1" applyBorder="1"/>
    <xf numFmtId="0" fontId="4" fillId="0" borderId="6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75" xfId="0" applyFont="1" applyBorder="1" applyAlignment="1">
      <alignment horizontal="center" wrapText="1"/>
    </xf>
    <xf numFmtId="0" fontId="11" fillId="0" borderId="75" xfId="0" applyFont="1" applyBorder="1" applyAlignment="1">
      <alignment vertical="center" textRotation="90" wrapText="1"/>
    </xf>
    <xf numFmtId="164" fontId="0" fillId="0" borderId="20" xfId="0" applyNumberFormat="1" applyBorder="1"/>
    <xf numFmtId="165" fontId="0" fillId="0" borderId="20" xfId="0" applyNumberFormat="1" applyBorder="1"/>
    <xf numFmtId="0" fontId="1" fillId="0" borderId="33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1" fillId="0" borderId="86" xfId="0" applyFont="1" applyBorder="1" applyAlignment="1">
      <alignment horizontal="center" wrapText="1"/>
    </xf>
    <xf numFmtId="0" fontId="1" fillId="0" borderId="66" xfId="0" applyFont="1" applyBorder="1" applyAlignment="1">
      <alignment horizontal="center" wrapText="1"/>
    </xf>
    <xf numFmtId="0" fontId="6" fillId="0" borderId="48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90" xfId="0" applyFont="1" applyBorder="1" applyAlignment="1">
      <alignment horizontal="right" vertical="center"/>
    </xf>
    <xf numFmtId="0" fontId="3" fillId="0" borderId="80" xfId="0" applyFont="1" applyBorder="1" applyAlignment="1">
      <alignment horizontal="center" vertical="center"/>
    </xf>
    <xf numFmtId="0" fontId="0" fillId="0" borderId="48" xfId="0" applyBorder="1"/>
    <xf numFmtId="0" fontId="4" fillId="0" borderId="53" xfId="0" applyFont="1" applyBorder="1" applyAlignment="1">
      <alignment horizontal="center"/>
    </xf>
    <xf numFmtId="0" fontId="1" fillId="0" borderId="53" xfId="0" applyFont="1" applyBorder="1" applyAlignment="1">
      <alignment horizontal="center" wrapText="1"/>
    </xf>
    <xf numFmtId="0" fontId="1" fillId="0" borderId="92" xfId="0" applyFont="1" applyBorder="1"/>
    <xf numFmtId="164" fontId="0" fillId="0" borderId="93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166" fontId="0" fillId="0" borderId="28" xfId="0" applyNumberFormat="1" applyBorder="1"/>
    <xf numFmtId="165" fontId="0" fillId="0" borderId="31" xfId="0" applyNumberFormat="1" applyBorder="1"/>
    <xf numFmtId="0" fontId="1" fillId="0" borderId="58" xfId="0" applyFont="1" applyBorder="1" applyAlignment="1">
      <alignment horizontal="center" wrapText="1"/>
    </xf>
    <xf numFmtId="164" fontId="0" fillId="0" borderId="59" xfId="0" applyNumberFormat="1" applyBorder="1"/>
    <xf numFmtId="164" fontId="0" fillId="0" borderId="58" xfId="0" applyNumberFormat="1" applyBorder="1"/>
    <xf numFmtId="164" fontId="0" fillId="0" borderId="60" xfId="0" applyNumberFormat="1" applyBorder="1"/>
    <xf numFmtId="0" fontId="9" fillId="0" borderId="52" xfId="0" applyFont="1" applyBorder="1" applyAlignment="1">
      <alignment horizontal="left" vertical="center" wrapText="1"/>
    </xf>
    <xf numFmtId="164" fontId="8" fillId="0" borderId="25" xfId="0" applyNumberFormat="1" applyFont="1" applyBorder="1" applyAlignment="1">
      <alignment horizontal="left" vertical="center" wrapText="1"/>
    </xf>
    <xf numFmtId="164" fontId="8" fillId="0" borderId="26" xfId="0" applyNumberFormat="1" applyFont="1" applyBorder="1" applyAlignment="1">
      <alignment horizontal="left" vertical="center" wrapText="1"/>
    </xf>
    <xf numFmtId="164" fontId="8" fillId="0" borderId="27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8" fillId="0" borderId="24" xfId="0" applyNumberFormat="1" applyFont="1" applyBorder="1" applyAlignment="1">
      <alignment horizontal="left" vertical="center" wrapText="1"/>
    </xf>
    <xf numFmtId="2" fontId="8" fillId="0" borderId="10" xfId="0" applyNumberFormat="1" applyFont="1" applyBorder="1" applyAlignment="1">
      <alignment horizontal="left" vertical="center" wrapText="1"/>
    </xf>
    <xf numFmtId="2" fontId="8" fillId="0" borderId="84" xfId="0" applyNumberFormat="1" applyFont="1" applyBorder="1" applyAlignment="1">
      <alignment horizontal="left" vertical="center" wrapText="1"/>
    </xf>
    <xf numFmtId="164" fontId="8" fillId="0" borderId="30" xfId="0" applyNumberFormat="1" applyFont="1" applyBorder="1" applyAlignment="1">
      <alignment horizontal="left" vertical="center" wrapText="1"/>
    </xf>
    <xf numFmtId="164" fontId="8" fillId="0" borderId="85" xfId="0" applyNumberFormat="1" applyFont="1" applyBorder="1" applyAlignment="1">
      <alignment horizontal="left" vertical="center" wrapText="1"/>
    </xf>
    <xf numFmtId="164" fontId="8" fillId="0" borderId="91" xfId="0" applyNumberFormat="1" applyFont="1" applyBorder="1" applyAlignment="1">
      <alignment horizontal="left" vertical="center" wrapText="1"/>
    </xf>
    <xf numFmtId="0" fontId="11" fillId="0" borderId="75" xfId="0" applyFont="1" applyBorder="1" applyAlignment="1">
      <alignment horizontal="center" vertical="center" textRotation="90"/>
    </xf>
    <xf numFmtId="0" fontId="11" fillId="0" borderId="56" xfId="0" applyFont="1" applyBorder="1" applyAlignment="1">
      <alignment horizontal="center" vertical="center" textRotation="90"/>
    </xf>
    <xf numFmtId="0" fontId="11" fillId="0" borderId="76" xfId="0" applyFont="1" applyBorder="1" applyAlignment="1">
      <alignment horizontal="center" vertical="center" textRotation="90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6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6" fillId="0" borderId="6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9" fillId="0" borderId="68" xfId="0" applyFont="1" applyBorder="1" applyAlignment="1">
      <alignment horizontal="left" vertical="center" wrapText="1"/>
    </xf>
    <xf numFmtId="164" fontId="8" fillId="0" borderId="29" xfId="0" applyNumberFormat="1" applyFont="1" applyBorder="1" applyAlignment="1">
      <alignment horizontal="left" vertical="center" wrapText="1"/>
    </xf>
    <xf numFmtId="164" fontId="8" fillId="0" borderId="82" xfId="0" applyNumberFormat="1" applyFont="1" applyBorder="1" applyAlignment="1">
      <alignment horizontal="left" vertical="center" wrapText="1"/>
    </xf>
    <xf numFmtId="164" fontId="8" fillId="0" borderId="83" xfId="0" applyNumberFormat="1" applyFont="1" applyBorder="1" applyAlignment="1">
      <alignment horizontal="left" vertical="center" wrapText="1"/>
    </xf>
    <xf numFmtId="0" fontId="11" fillId="0" borderId="75" xfId="0" applyFont="1" applyBorder="1" applyAlignment="1">
      <alignment horizontal="center" vertical="center" textRotation="90" wrapText="1"/>
    </xf>
    <xf numFmtId="0" fontId="11" fillId="0" borderId="56" xfId="0" applyFont="1" applyBorder="1" applyAlignment="1">
      <alignment horizontal="center" vertical="center" textRotation="90" wrapText="1"/>
    </xf>
    <xf numFmtId="0" fontId="11" fillId="0" borderId="76" xfId="0" applyFont="1" applyBorder="1" applyAlignment="1">
      <alignment horizontal="center" vertical="center" textRotation="90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0" fillId="0" borderId="56" xfId="0" applyBorder="1" applyAlignment="1">
      <alignment horizontal="center" vertical="center" textRotation="90" wrapText="1"/>
    </xf>
    <xf numFmtId="0" fontId="0" fillId="0" borderId="61" xfId="0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12" fillId="0" borderId="34" xfId="0" applyFont="1" applyBorder="1" applyAlignment="1">
      <alignment wrapText="1"/>
    </xf>
    <xf numFmtId="0" fontId="12" fillId="0" borderId="79" xfId="0" applyFont="1" applyBorder="1" applyAlignment="1">
      <alignment wrapText="1"/>
    </xf>
    <xf numFmtId="0" fontId="12" fillId="0" borderId="80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9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1" fillId="0" borderId="61" xfId="0" applyFont="1" applyBorder="1" applyAlignment="1">
      <alignment horizontal="center" vertical="center" textRotation="90" wrapText="1"/>
    </xf>
    <xf numFmtId="0" fontId="9" fillId="0" borderId="73" xfId="0" applyFont="1" applyBorder="1" applyAlignment="1">
      <alignment horizontal="left" vertical="center" wrapText="1"/>
    </xf>
    <xf numFmtId="0" fontId="10" fillId="0" borderId="68" xfId="0" applyFont="1" applyBorder="1" applyAlignment="1">
      <alignment horizontal="left" wrapText="1"/>
    </xf>
    <xf numFmtId="0" fontId="9" fillId="0" borderId="48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wrapText="1"/>
    </xf>
    <xf numFmtId="0" fontId="9" fillId="0" borderId="61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164" fontId="8" fillId="0" borderId="48" xfId="0" applyNumberFormat="1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4" fontId="8" fillId="0" borderId="61" xfId="0" applyNumberFormat="1" applyFont="1" applyBorder="1" applyAlignment="1">
      <alignment horizontal="left" vertical="center" wrapText="1"/>
    </xf>
    <xf numFmtId="164" fontId="8" fillId="0" borderId="61" xfId="0" applyNumberFormat="1" applyFont="1" applyBorder="1" applyAlignment="1">
      <alignment horizontal="left" vertical="center" wrapText="1"/>
    </xf>
    <xf numFmtId="0" fontId="4" fillId="0" borderId="87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164" fontId="1" fillId="0" borderId="5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46"/>
  <sheetViews>
    <sheetView tabSelected="1" zoomScale="77" zoomScaleNormal="77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B41" sqref="A2:XFD41"/>
    </sheetView>
  </sheetViews>
  <sheetFormatPr defaultRowHeight="15" x14ac:dyDescent="0.25"/>
  <cols>
    <col min="1" max="1" width="6" customWidth="1"/>
    <col min="2" max="2" width="30.42578125" customWidth="1"/>
    <col min="3" max="3" width="11.28515625" customWidth="1"/>
    <col min="4" max="4" width="24.42578125" customWidth="1"/>
    <col min="5" max="5" width="17" customWidth="1"/>
    <col min="6" max="7" width="14.28515625" customWidth="1"/>
    <col min="8" max="8" width="14.42578125" bestFit="1" customWidth="1"/>
    <col min="9" max="9" width="11.42578125" customWidth="1"/>
    <col min="10" max="10" width="13.85546875" customWidth="1"/>
    <col min="11" max="11" width="14.42578125" bestFit="1" customWidth="1"/>
    <col min="12" max="12" width="11.5703125" bestFit="1" customWidth="1"/>
    <col min="13" max="13" width="13.28515625" customWidth="1"/>
    <col min="14" max="14" width="14.85546875" customWidth="1"/>
    <col min="15" max="15" width="11.42578125" customWidth="1"/>
    <col min="16" max="16" width="13" customWidth="1"/>
    <col min="17" max="17" width="13.7109375" customWidth="1"/>
    <col min="18" max="18" width="13.85546875" customWidth="1"/>
    <col min="19" max="19" width="11" customWidth="1"/>
    <col min="20" max="20" width="15.7109375" customWidth="1"/>
    <col min="21" max="21" width="12.140625" customWidth="1"/>
    <col min="22" max="22" width="14.28515625" customWidth="1"/>
    <col min="23" max="23" width="12.7109375" customWidth="1"/>
    <col min="24" max="24" width="10" bestFit="1" customWidth="1"/>
    <col min="27" max="27" width="11.5703125" bestFit="1" customWidth="1"/>
    <col min="28" max="28" width="12.85546875" customWidth="1"/>
    <col min="29" max="29" width="12.140625" customWidth="1"/>
    <col min="30" max="30" width="11.28515625" customWidth="1"/>
    <col min="31" max="31" width="12.42578125" customWidth="1"/>
    <col min="32" max="32" width="12.5703125" customWidth="1"/>
    <col min="33" max="33" width="12" customWidth="1"/>
    <col min="36" max="36" width="10.28515625" customWidth="1"/>
    <col min="37" max="37" width="11.5703125" bestFit="1" customWidth="1"/>
    <col min="38" max="38" width="12.7109375" customWidth="1"/>
    <col min="39" max="39" width="12.42578125" customWidth="1"/>
    <col min="40" max="40" width="13.28515625" customWidth="1"/>
    <col min="41" max="41" width="17.7109375" bestFit="1" customWidth="1"/>
    <col min="46" max="46" width="10.28515625" customWidth="1"/>
    <col min="47" max="47" width="14" customWidth="1"/>
    <col min="48" max="48" width="13" customWidth="1"/>
    <col min="49" max="51" width="10.140625" customWidth="1"/>
  </cols>
  <sheetData>
    <row r="1" spans="1:49" ht="24.6" customHeight="1" thickBot="1" x14ac:dyDescent="0.4">
      <c r="A1" s="424" t="s">
        <v>218</v>
      </c>
      <c r="B1" s="425"/>
      <c r="C1" s="425"/>
      <c r="D1" s="425"/>
      <c r="E1" s="425"/>
      <c r="F1" s="426"/>
      <c r="K1" s="25">
        <v>2569.64</v>
      </c>
    </row>
    <row r="2" spans="1:49" ht="60.75" hidden="1" thickBot="1" x14ac:dyDescent="0.3">
      <c r="C2" s="445" t="s">
        <v>234</v>
      </c>
      <c r="D2" s="446"/>
      <c r="E2" s="447"/>
      <c r="F2" s="445" t="s">
        <v>235</v>
      </c>
      <c r="G2" s="446"/>
      <c r="H2" s="447"/>
      <c r="I2" s="445" t="s">
        <v>125</v>
      </c>
      <c r="J2" s="446"/>
      <c r="K2" s="447"/>
      <c r="L2" s="393" t="s">
        <v>129</v>
      </c>
      <c r="M2" s="394"/>
      <c r="N2" s="395"/>
      <c r="O2" s="393" t="s">
        <v>134</v>
      </c>
      <c r="P2" s="394"/>
      <c r="Q2" s="395"/>
      <c r="R2" s="390" t="s">
        <v>154</v>
      </c>
      <c r="S2" s="391"/>
      <c r="T2" s="392"/>
      <c r="U2" s="393" t="s">
        <v>158</v>
      </c>
      <c r="V2" s="394"/>
      <c r="W2" s="395"/>
      <c r="X2" s="393" t="s">
        <v>159</v>
      </c>
      <c r="Y2" s="394"/>
      <c r="Z2" s="395"/>
      <c r="AA2" s="393" t="s">
        <v>138</v>
      </c>
      <c r="AB2" s="394"/>
      <c r="AC2" s="395"/>
      <c r="AD2" s="393" t="s">
        <v>130</v>
      </c>
      <c r="AE2" s="394"/>
      <c r="AF2" s="395"/>
      <c r="AG2" s="393" t="s">
        <v>152</v>
      </c>
      <c r="AH2" s="395"/>
      <c r="AI2" s="393" t="s">
        <v>167</v>
      </c>
      <c r="AJ2" s="395"/>
      <c r="AK2" s="178" t="s">
        <v>173</v>
      </c>
      <c r="AL2" s="178" t="s">
        <v>97</v>
      </c>
      <c r="AM2" s="178" t="s">
        <v>101</v>
      </c>
      <c r="AN2" s="178" t="s">
        <v>66</v>
      </c>
      <c r="AO2" s="396" t="s">
        <v>99</v>
      </c>
      <c r="AP2" s="397"/>
      <c r="AQ2" s="397"/>
      <c r="AR2" s="398"/>
      <c r="AS2" s="178"/>
      <c r="AT2" s="393" t="s">
        <v>145</v>
      </c>
      <c r="AU2" s="394"/>
      <c r="AV2" s="395"/>
      <c r="AW2" s="178" t="s">
        <v>94</v>
      </c>
    </row>
    <row r="3" spans="1:49" ht="20.25" hidden="1" thickTop="1" thickBot="1" x14ac:dyDescent="0.3">
      <c r="A3" s="353">
        <v>2026</v>
      </c>
      <c r="B3" s="327" t="s">
        <v>270</v>
      </c>
      <c r="C3" s="382" t="s">
        <v>233</v>
      </c>
      <c r="D3" s="383"/>
      <c r="E3" s="384"/>
      <c r="F3" s="382" t="s">
        <v>235</v>
      </c>
      <c r="G3" s="383"/>
      <c r="H3" s="384"/>
      <c r="I3" s="382" t="s">
        <v>125</v>
      </c>
      <c r="J3" s="383"/>
      <c r="K3" s="385"/>
      <c r="L3" s="386" t="s">
        <v>129</v>
      </c>
      <c r="M3" s="364"/>
      <c r="N3" s="365"/>
      <c r="O3" s="363" t="s">
        <v>134</v>
      </c>
      <c r="P3" s="364"/>
      <c r="Q3" s="365"/>
      <c r="R3" s="387" t="s">
        <v>154</v>
      </c>
      <c r="S3" s="388"/>
      <c r="T3" s="389"/>
      <c r="U3" s="363" t="s">
        <v>158</v>
      </c>
      <c r="V3" s="364"/>
      <c r="W3" s="365"/>
      <c r="X3" s="363" t="s">
        <v>159</v>
      </c>
      <c r="Y3" s="364"/>
      <c r="Z3" s="365"/>
      <c r="AA3" s="363" t="s">
        <v>138</v>
      </c>
      <c r="AB3" s="364"/>
      <c r="AC3" s="365"/>
      <c r="AD3" s="363" t="s">
        <v>130</v>
      </c>
      <c r="AE3" s="364"/>
      <c r="AF3" s="365"/>
      <c r="AG3" s="363" t="s">
        <v>152</v>
      </c>
      <c r="AH3" s="375"/>
      <c r="AI3" s="376" t="s">
        <v>167</v>
      </c>
      <c r="AJ3" s="375"/>
      <c r="AK3" s="8"/>
      <c r="AL3" s="8"/>
      <c r="AM3" s="8"/>
      <c r="AN3" s="8"/>
      <c r="AO3" s="377" t="s">
        <v>99</v>
      </c>
      <c r="AP3" s="378"/>
      <c r="AQ3" s="378"/>
      <c r="AR3" s="379"/>
      <c r="AS3" s="8"/>
      <c r="AT3" s="363" t="s">
        <v>145</v>
      </c>
      <c r="AU3" s="364"/>
      <c r="AV3" s="365"/>
      <c r="AW3" s="141"/>
    </row>
    <row r="4" spans="1:49" ht="60" hidden="1" x14ac:dyDescent="0.25">
      <c r="A4" s="354"/>
      <c r="B4" s="198" t="s">
        <v>0</v>
      </c>
      <c r="C4" s="110" t="s">
        <v>119</v>
      </c>
      <c r="D4" s="20" t="s">
        <v>120</v>
      </c>
      <c r="E4" s="14" t="s">
        <v>121</v>
      </c>
      <c r="F4" s="86" t="s">
        <v>119</v>
      </c>
      <c r="G4" s="20" t="s">
        <v>120</v>
      </c>
      <c r="H4" s="14" t="s">
        <v>121</v>
      </c>
      <c r="I4" s="86" t="s">
        <v>23</v>
      </c>
      <c r="J4" s="20" t="s">
        <v>122</v>
      </c>
      <c r="K4" s="111" t="s">
        <v>123</v>
      </c>
      <c r="L4" s="184" t="s">
        <v>131</v>
      </c>
      <c r="M4" s="20" t="s">
        <v>132</v>
      </c>
      <c r="N4" s="14" t="s">
        <v>133</v>
      </c>
      <c r="O4" s="86" t="s">
        <v>135</v>
      </c>
      <c r="P4" s="20" t="s">
        <v>136</v>
      </c>
      <c r="Q4" s="14" t="s">
        <v>137</v>
      </c>
      <c r="R4" s="86" t="s">
        <v>155</v>
      </c>
      <c r="S4" s="20" t="s">
        <v>156</v>
      </c>
      <c r="T4" s="14" t="s">
        <v>157</v>
      </c>
      <c r="U4" s="86" t="s">
        <v>160</v>
      </c>
      <c r="V4" s="20" t="s">
        <v>161</v>
      </c>
      <c r="W4" s="14" t="s">
        <v>162</v>
      </c>
      <c r="X4" s="86" t="s">
        <v>163</v>
      </c>
      <c r="Y4" s="20" t="s">
        <v>164</v>
      </c>
      <c r="Z4" s="14" t="s">
        <v>165</v>
      </c>
      <c r="AA4" s="86" t="s">
        <v>139</v>
      </c>
      <c r="AB4" s="20" t="s">
        <v>140</v>
      </c>
      <c r="AC4" s="14" t="s">
        <v>141</v>
      </c>
      <c r="AD4" s="86" t="s">
        <v>126</v>
      </c>
      <c r="AE4" s="20" t="s">
        <v>127</v>
      </c>
      <c r="AF4" s="14" t="s">
        <v>128</v>
      </c>
      <c r="AG4" s="20" t="s">
        <v>172</v>
      </c>
      <c r="AH4" s="20" t="s">
        <v>171</v>
      </c>
      <c r="AI4" s="20" t="s">
        <v>169</v>
      </c>
      <c r="AJ4" s="20" t="s">
        <v>170</v>
      </c>
      <c r="AK4" s="14" t="s">
        <v>173</v>
      </c>
      <c r="AL4" s="14" t="s">
        <v>97</v>
      </c>
      <c r="AM4" s="14" t="s">
        <v>101</v>
      </c>
      <c r="AN4" s="14" t="s">
        <v>66</v>
      </c>
      <c r="AO4" s="20" t="s">
        <v>202</v>
      </c>
      <c r="AP4" s="14" t="s">
        <v>90</v>
      </c>
      <c r="AQ4" s="14" t="s">
        <v>91</v>
      </c>
      <c r="AR4" s="14" t="s">
        <v>27</v>
      </c>
      <c r="AS4" s="14" t="s">
        <v>269</v>
      </c>
      <c r="AT4" s="86" t="s">
        <v>146</v>
      </c>
      <c r="AU4" s="22" t="s">
        <v>148</v>
      </c>
      <c r="AV4" s="183" t="s">
        <v>147</v>
      </c>
      <c r="AW4" s="135" t="s">
        <v>94</v>
      </c>
    </row>
    <row r="5" spans="1:49" ht="15.75" hidden="1" thickBot="1" x14ac:dyDescent="0.3">
      <c r="A5" s="354"/>
      <c r="B5" s="199"/>
      <c r="C5" s="112" t="s">
        <v>151</v>
      </c>
      <c r="D5" s="18" t="s">
        <v>151</v>
      </c>
      <c r="E5" s="87" t="s">
        <v>1</v>
      </c>
      <c r="F5" s="90" t="s">
        <v>151</v>
      </c>
      <c r="G5" s="18" t="s">
        <v>151</v>
      </c>
      <c r="H5" s="87" t="s">
        <v>1</v>
      </c>
      <c r="I5" s="90" t="s">
        <v>151</v>
      </c>
      <c r="J5" s="18" t="s">
        <v>151</v>
      </c>
      <c r="K5" s="113" t="s">
        <v>1</v>
      </c>
      <c r="L5" s="85" t="s">
        <v>151</v>
      </c>
      <c r="M5" s="18" t="s">
        <v>151</v>
      </c>
      <c r="N5" s="87" t="s">
        <v>1</v>
      </c>
      <c r="O5" s="90" t="s">
        <v>151</v>
      </c>
      <c r="P5" s="18" t="s">
        <v>151</v>
      </c>
      <c r="Q5" s="87" t="s">
        <v>1</v>
      </c>
      <c r="R5" s="90" t="s">
        <v>151</v>
      </c>
      <c r="S5" s="18" t="s">
        <v>151</v>
      </c>
      <c r="T5" s="87" t="s">
        <v>1</v>
      </c>
      <c r="U5" s="90" t="s">
        <v>151</v>
      </c>
      <c r="V5" s="18" t="s">
        <v>151</v>
      </c>
      <c r="W5" s="87" t="s">
        <v>1</v>
      </c>
      <c r="X5" s="90" t="s">
        <v>151</v>
      </c>
      <c r="Y5" s="18" t="s">
        <v>151</v>
      </c>
      <c r="Z5" s="87" t="s">
        <v>1</v>
      </c>
      <c r="AA5" s="90" t="s">
        <v>151</v>
      </c>
      <c r="AB5" s="18" t="s">
        <v>151</v>
      </c>
      <c r="AC5" s="87" t="s">
        <v>1</v>
      </c>
      <c r="AD5" s="90" t="s">
        <v>151</v>
      </c>
      <c r="AE5" s="18" t="s">
        <v>151</v>
      </c>
      <c r="AF5" s="87" t="s">
        <v>151</v>
      </c>
      <c r="AG5" s="85" t="s">
        <v>17</v>
      </c>
      <c r="AH5" s="18" t="s">
        <v>18</v>
      </c>
      <c r="AI5" s="85" t="s">
        <v>168</v>
      </c>
      <c r="AJ5" s="18" t="s">
        <v>151</v>
      </c>
      <c r="AK5" s="18" t="s">
        <v>18</v>
      </c>
      <c r="AL5" s="18" t="s">
        <v>98</v>
      </c>
      <c r="AM5" s="18" t="s">
        <v>98</v>
      </c>
      <c r="AN5" s="18" t="s">
        <v>98</v>
      </c>
      <c r="AO5" s="18" t="s">
        <v>150</v>
      </c>
      <c r="AP5" s="18" t="s">
        <v>17</v>
      </c>
      <c r="AQ5" s="18" t="s">
        <v>17</v>
      </c>
      <c r="AR5" s="18" t="s">
        <v>17</v>
      </c>
      <c r="AS5" s="18" t="s">
        <v>17</v>
      </c>
      <c r="AT5" s="90" t="s">
        <v>149</v>
      </c>
      <c r="AU5" s="90" t="s">
        <v>149</v>
      </c>
      <c r="AV5" s="134" t="s">
        <v>1</v>
      </c>
      <c r="AW5" s="142" t="s">
        <v>93</v>
      </c>
    </row>
    <row r="6" spans="1:49" hidden="1" x14ac:dyDescent="0.25">
      <c r="A6" s="354"/>
      <c r="B6" s="210" t="s">
        <v>3</v>
      </c>
      <c r="C6" s="114"/>
      <c r="D6" s="3"/>
      <c r="E6" s="21"/>
      <c r="F6" s="1"/>
      <c r="G6" s="3"/>
      <c r="H6" s="21"/>
      <c r="I6" s="299"/>
      <c r="J6" s="3"/>
      <c r="K6" s="115"/>
      <c r="L6" s="107"/>
      <c r="M6" s="3"/>
      <c r="N6" s="21"/>
      <c r="O6" s="101"/>
      <c r="P6" s="3"/>
      <c r="Q6" s="21"/>
      <c r="R6" s="101"/>
      <c r="S6" s="3"/>
      <c r="T6" s="21"/>
      <c r="U6" s="101"/>
      <c r="V6" s="3"/>
      <c r="W6" s="21"/>
      <c r="X6" s="101"/>
      <c r="Y6" s="3"/>
      <c r="Z6" s="21"/>
      <c r="AA6" s="101"/>
      <c r="AB6" s="3"/>
      <c r="AC6" s="21"/>
      <c r="AD6" s="98"/>
      <c r="AE6" s="3"/>
      <c r="AF6" s="21"/>
      <c r="AG6" s="93"/>
      <c r="AH6" s="3"/>
      <c r="AI6" s="93"/>
      <c r="AJ6" s="3"/>
      <c r="AK6" s="21"/>
      <c r="AL6" s="21"/>
      <c r="AM6" s="21"/>
      <c r="AN6" s="21"/>
      <c r="AO6" s="3"/>
      <c r="AP6" s="72"/>
      <c r="AQ6" s="72"/>
      <c r="AR6" s="72"/>
      <c r="AS6" s="72"/>
      <c r="AT6" s="98"/>
      <c r="AU6" s="3"/>
      <c r="AV6" s="137"/>
      <c r="AW6" s="143"/>
    </row>
    <row r="7" spans="1:49" hidden="1" x14ac:dyDescent="0.25">
      <c r="A7" s="354"/>
      <c r="B7" s="211" t="s">
        <v>4</v>
      </c>
      <c r="C7" s="116"/>
      <c r="D7" s="7"/>
      <c r="E7" s="9"/>
      <c r="F7" s="5"/>
      <c r="G7" s="7"/>
      <c r="H7" s="9"/>
      <c r="I7" s="5"/>
      <c r="J7" s="7"/>
      <c r="K7" s="117"/>
      <c r="L7" s="108"/>
      <c r="M7" s="7"/>
      <c r="N7" s="9"/>
      <c r="O7" s="102"/>
      <c r="P7" s="7"/>
      <c r="Q7" s="9"/>
      <c r="R7" s="102"/>
      <c r="S7" s="7"/>
      <c r="T7" s="9"/>
      <c r="U7" s="102"/>
      <c r="V7" s="7"/>
      <c r="W7" s="9"/>
      <c r="X7" s="102"/>
      <c r="Y7" s="7"/>
      <c r="Z7" s="9"/>
      <c r="AA7" s="102"/>
      <c r="AB7" s="7"/>
      <c r="AC7" s="9"/>
      <c r="AD7" s="99"/>
      <c r="AE7" s="7"/>
      <c r="AF7" s="9"/>
      <c r="AG7" s="94"/>
      <c r="AH7" s="7"/>
      <c r="AI7" s="94"/>
      <c r="AJ7" s="7"/>
      <c r="AK7" s="9"/>
      <c r="AL7" s="9"/>
      <c r="AM7" s="9"/>
      <c r="AN7" s="9"/>
      <c r="AO7" s="7"/>
      <c r="AP7" s="72"/>
      <c r="AQ7" s="72"/>
      <c r="AR7" s="72"/>
      <c r="AS7" s="72"/>
      <c r="AT7" s="99"/>
      <c r="AU7" s="7"/>
      <c r="AV7" s="138"/>
      <c r="AW7" s="143"/>
    </row>
    <row r="8" spans="1:49" hidden="1" x14ac:dyDescent="0.25">
      <c r="A8" s="354"/>
      <c r="B8" s="211" t="s">
        <v>5</v>
      </c>
      <c r="C8" s="118"/>
      <c r="D8" s="7"/>
      <c r="E8" s="9"/>
      <c r="F8" s="96"/>
      <c r="G8" s="7"/>
      <c r="H8" s="9"/>
      <c r="I8" s="96"/>
      <c r="J8" s="105"/>
      <c r="K8" s="117"/>
      <c r="L8" s="108"/>
      <c r="M8" s="7"/>
      <c r="N8" s="9"/>
      <c r="O8" s="102"/>
      <c r="P8" s="7"/>
      <c r="Q8" s="9"/>
      <c r="R8" s="102"/>
      <c r="S8" s="7"/>
      <c r="T8" s="9"/>
      <c r="U8" s="102"/>
      <c r="V8" s="7"/>
      <c r="W8" s="9"/>
      <c r="X8" s="102"/>
      <c r="Y8" s="7"/>
      <c r="Z8" s="9"/>
      <c r="AA8" s="102"/>
      <c r="AB8" s="7"/>
      <c r="AC8" s="9"/>
      <c r="AD8" s="99"/>
      <c r="AE8" s="7"/>
      <c r="AF8" s="9"/>
      <c r="AG8" s="94"/>
      <c r="AH8" s="7"/>
      <c r="AI8" s="94"/>
      <c r="AJ8" s="7"/>
      <c r="AK8" s="9"/>
      <c r="AL8" s="9"/>
      <c r="AM8" s="9"/>
      <c r="AN8" s="9"/>
      <c r="AO8" s="7"/>
      <c r="AP8" s="72"/>
      <c r="AQ8" s="72"/>
      <c r="AR8" s="72"/>
      <c r="AS8" s="72"/>
      <c r="AT8" s="99"/>
      <c r="AU8" s="7"/>
      <c r="AV8" s="138"/>
      <c r="AW8" s="143"/>
    </row>
    <row r="9" spans="1:49" hidden="1" x14ac:dyDescent="0.25">
      <c r="A9" s="354"/>
      <c r="B9" s="211" t="s">
        <v>6</v>
      </c>
      <c r="C9" s="118"/>
      <c r="D9" s="7"/>
      <c r="E9" s="9"/>
      <c r="F9" s="96"/>
      <c r="G9" s="7"/>
      <c r="H9" s="9"/>
      <c r="I9" s="96"/>
      <c r="J9" s="105"/>
      <c r="K9" s="117"/>
      <c r="L9" s="108"/>
      <c r="M9" s="7"/>
      <c r="N9" s="9"/>
      <c r="O9" s="102"/>
      <c r="P9" s="7"/>
      <c r="Q9" s="9"/>
      <c r="R9" s="102"/>
      <c r="S9" s="7"/>
      <c r="T9" s="9"/>
      <c r="U9" s="102"/>
      <c r="V9" s="7"/>
      <c r="W9" s="9"/>
      <c r="X9" s="102"/>
      <c r="Y9" s="7"/>
      <c r="Z9" s="9"/>
      <c r="AA9" s="102"/>
      <c r="AB9" s="7"/>
      <c r="AC9" s="9"/>
      <c r="AD9" s="99"/>
      <c r="AE9" s="7"/>
      <c r="AF9" s="9"/>
      <c r="AG9" s="94"/>
      <c r="AH9" s="7"/>
      <c r="AI9" s="94"/>
      <c r="AJ9" s="7"/>
      <c r="AK9" s="9"/>
      <c r="AL9" s="9"/>
      <c r="AM9" s="9"/>
      <c r="AN9" s="9"/>
      <c r="AO9" s="7"/>
      <c r="AP9" s="72"/>
      <c r="AQ9" s="72"/>
      <c r="AR9" s="72"/>
      <c r="AS9" s="72"/>
      <c r="AT9" s="99"/>
      <c r="AU9" s="7"/>
      <c r="AV9" s="138"/>
      <c r="AW9" s="143"/>
    </row>
    <row r="10" spans="1:49" hidden="1" x14ac:dyDescent="0.25">
      <c r="A10" s="354"/>
      <c r="B10" s="211" t="s">
        <v>7</v>
      </c>
      <c r="C10" s="119"/>
      <c r="D10" s="7"/>
      <c r="E10" s="9"/>
      <c r="F10" s="91"/>
      <c r="G10" s="7"/>
      <c r="H10" s="9"/>
      <c r="I10" s="96"/>
      <c r="J10" s="105"/>
      <c r="K10" s="117"/>
      <c r="L10" s="108"/>
      <c r="M10" s="7"/>
      <c r="N10" s="9"/>
      <c r="O10" s="102"/>
      <c r="P10" s="7"/>
      <c r="Q10" s="9"/>
      <c r="R10" s="102"/>
      <c r="S10" s="7"/>
      <c r="T10" s="9"/>
      <c r="U10" s="102"/>
      <c r="V10" s="7"/>
      <c r="W10" s="9"/>
      <c r="X10" s="102"/>
      <c r="Y10" s="7"/>
      <c r="Z10" s="9"/>
      <c r="AA10" s="102"/>
      <c r="AB10" s="7"/>
      <c r="AC10" s="9"/>
      <c r="AD10" s="99"/>
      <c r="AE10" s="7"/>
      <c r="AF10" s="9"/>
      <c r="AG10" s="94"/>
      <c r="AH10" s="7"/>
      <c r="AI10" s="94"/>
      <c r="AJ10" s="7"/>
      <c r="AK10" s="9"/>
      <c r="AL10" s="9"/>
      <c r="AM10" s="9"/>
      <c r="AN10" s="9"/>
      <c r="AO10" s="7"/>
      <c r="AP10" s="72"/>
      <c r="AQ10" s="72"/>
      <c r="AR10" s="72"/>
      <c r="AS10" s="72"/>
      <c r="AT10" s="99"/>
      <c r="AU10" s="7"/>
      <c r="AV10" s="138"/>
      <c r="AW10" s="143"/>
    </row>
    <row r="11" spans="1:49" hidden="1" x14ac:dyDescent="0.25">
      <c r="A11" s="354"/>
      <c r="B11" s="211" t="s">
        <v>8</v>
      </c>
      <c r="C11" s="119"/>
      <c r="D11" s="7"/>
      <c r="E11" s="9"/>
      <c r="F11" s="91"/>
      <c r="G11" s="7"/>
      <c r="H11" s="9"/>
      <c r="I11" s="96"/>
      <c r="J11" s="105"/>
      <c r="K11" s="117"/>
      <c r="L11" s="108"/>
      <c r="M11" s="7"/>
      <c r="N11" s="9"/>
      <c r="O11" s="102"/>
      <c r="P11" s="7"/>
      <c r="Q11" s="9"/>
      <c r="R11" s="102"/>
      <c r="S11" s="7"/>
      <c r="T11" s="9"/>
      <c r="U11" s="102"/>
      <c r="V11" s="7"/>
      <c r="W11" s="9"/>
      <c r="X11" s="102"/>
      <c r="Y11" s="7"/>
      <c r="Z11" s="9"/>
      <c r="AA11" s="102"/>
      <c r="AB11" s="7"/>
      <c r="AC11" s="9"/>
      <c r="AD11" s="99"/>
      <c r="AE11" s="7"/>
      <c r="AF11" s="9"/>
      <c r="AG11" s="94"/>
      <c r="AH11" s="7"/>
      <c r="AI11" s="94"/>
      <c r="AJ11" s="7"/>
      <c r="AK11" s="9"/>
      <c r="AL11" s="9"/>
      <c r="AM11" s="9"/>
      <c r="AN11" s="9"/>
      <c r="AO11" s="7"/>
      <c r="AP11" s="72"/>
      <c r="AQ11" s="72"/>
      <c r="AR11" s="72"/>
      <c r="AS11" s="72"/>
      <c r="AT11" s="99"/>
      <c r="AU11" s="7"/>
      <c r="AV11" s="138"/>
      <c r="AW11" s="143"/>
    </row>
    <row r="12" spans="1:49" hidden="1" x14ac:dyDescent="0.25">
      <c r="A12" s="354"/>
      <c r="B12" s="211" t="s">
        <v>9</v>
      </c>
      <c r="C12" s="119"/>
      <c r="D12" s="7"/>
      <c r="E12" s="9"/>
      <c r="F12" s="91"/>
      <c r="G12" s="7"/>
      <c r="H12" s="9"/>
      <c r="I12" s="96"/>
      <c r="J12" s="105"/>
      <c r="K12" s="117"/>
      <c r="L12" s="108"/>
      <c r="M12" s="7"/>
      <c r="N12" s="9"/>
      <c r="O12" s="102"/>
      <c r="P12" s="7"/>
      <c r="Q12" s="9"/>
      <c r="R12" s="102"/>
      <c r="S12" s="7"/>
      <c r="T12" s="9"/>
      <c r="U12" s="102"/>
      <c r="V12" s="7"/>
      <c r="W12" s="9"/>
      <c r="X12" s="102"/>
      <c r="Y12" s="7"/>
      <c r="Z12" s="9"/>
      <c r="AA12" s="102"/>
      <c r="AB12" s="7"/>
      <c r="AC12" s="9"/>
      <c r="AD12" s="99"/>
      <c r="AE12" s="7"/>
      <c r="AF12" s="9"/>
      <c r="AG12" s="94"/>
      <c r="AH12" s="7"/>
      <c r="AI12" s="94"/>
      <c r="AJ12" s="7"/>
      <c r="AK12" s="9"/>
      <c r="AL12" s="9"/>
      <c r="AM12" s="9"/>
      <c r="AN12" s="9"/>
      <c r="AO12" s="7"/>
      <c r="AP12" s="72"/>
      <c r="AQ12" s="72"/>
      <c r="AR12" s="72"/>
      <c r="AS12" s="72"/>
      <c r="AT12" s="99"/>
      <c r="AU12" s="7"/>
      <c r="AV12" s="138"/>
      <c r="AW12" s="143"/>
    </row>
    <row r="13" spans="1:49" hidden="1" x14ac:dyDescent="0.25">
      <c r="A13" s="354"/>
      <c r="B13" s="211" t="s">
        <v>10</v>
      </c>
      <c r="C13" s="119"/>
      <c r="D13" s="7"/>
      <c r="E13" s="9"/>
      <c r="F13" s="91"/>
      <c r="G13" s="7"/>
      <c r="H13" s="9"/>
      <c r="I13" s="96"/>
      <c r="J13" s="105"/>
      <c r="K13" s="117"/>
      <c r="L13" s="108"/>
      <c r="M13" s="7"/>
      <c r="N13" s="9"/>
      <c r="O13" s="102"/>
      <c r="P13" s="7"/>
      <c r="Q13" s="9"/>
      <c r="R13" s="102"/>
      <c r="S13" s="7"/>
      <c r="T13" s="9"/>
      <c r="U13" s="102"/>
      <c r="V13" s="7"/>
      <c r="W13" s="9"/>
      <c r="X13" s="102"/>
      <c r="Y13" s="7"/>
      <c r="Z13" s="9"/>
      <c r="AA13" s="102"/>
      <c r="AB13" s="7"/>
      <c r="AC13" s="9"/>
      <c r="AD13" s="99"/>
      <c r="AE13" s="7"/>
      <c r="AF13" s="9"/>
      <c r="AG13" s="94"/>
      <c r="AH13" s="7"/>
      <c r="AI13" s="94"/>
      <c r="AJ13" s="7"/>
      <c r="AK13" s="9"/>
      <c r="AL13" s="9"/>
      <c r="AM13" s="9"/>
      <c r="AN13" s="9"/>
      <c r="AO13" s="7"/>
      <c r="AP13" s="72"/>
      <c r="AQ13" s="72"/>
      <c r="AR13" s="72"/>
      <c r="AS13" s="72"/>
      <c r="AT13" s="99"/>
      <c r="AU13" s="7"/>
      <c r="AV13" s="138"/>
      <c r="AW13" s="143"/>
    </row>
    <row r="14" spans="1:49" hidden="1" x14ac:dyDescent="0.25">
      <c r="A14" s="354"/>
      <c r="B14" s="211" t="s">
        <v>11</v>
      </c>
      <c r="C14" s="119"/>
      <c r="D14" s="7"/>
      <c r="E14" s="9"/>
      <c r="F14" s="91"/>
      <c r="G14" s="7"/>
      <c r="H14" s="9"/>
      <c r="I14" s="96"/>
      <c r="J14" s="105"/>
      <c r="K14" s="117"/>
      <c r="L14" s="108"/>
      <c r="M14" s="7"/>
      <c r="N14" s="9"/>
      <c r="O14" s="102"/>
      <c r="P14" s="7"/>
      <c r="Q14" s="9"/>
      <c r="R14" s="102"/>
      <c r="S14" s="7"/>
      <c r="T14" s="9"/>
      <c r="U14" s="102"/>
      <c r="V14" s="7"/>
      <c r="W14" s="9"/>
      <c r="X14" s="102"/>
      <c r="Y14" s="7"/>
      <c r="Z14" s="9"/>
      <c r="AA14" s="102"/>
      <c r="AB14" s="7"/>
      <c r="AC14" s="9"/>
      <c r="AD14" s="99"/>
      <c r="AE14" s="7"/>
      <c r="AF14" s="9"/>
      <c r="AG14" s="94"/>
      <c r="AH14" s="7"/>
      <c r="AI14" s="94"/>
      <c r="AJ14" s="7"/>
      <c r="AK14" s="9"/>
      <c r="AL14" s="9"/>
      <c r="AM14" s="9"/>
      <c r="AN14" s="9"/>
      <c r="AO14" s="7"/>
      <c r="AP14" s="72"/>
      <c r="AQ14" s="72"/>
      <c r="AR14" s="72"/>
      <c r="AS14" s="72"/>
      <c r="AT14" s="99"/>
      <c r="AU14" s="7"/>
      <c r="AV14" s="138"/>
      <c r="AW14" s="143"/>
    </row>
    <row r="15" spans="1:49" hidden="1" x14ac:dyDescent="0.25">
      <c r="A15" s="354"/>
      <c r="B15" s="211" t="s">
        <v>12</v>
      </c>
      <c r="C15" s="119"/>
      <c r="D15" s="7"/>
      <c r="E15" s="9"/>
      <c r="F15" s="91"/>
      <c r="G15" s="7"/>
      <c r="H15" s="9"/>
      <c r="I15" s="96"/>
      <c r="J15" s="105"/>
      <c r="K15" s="117"/>
      <c r="L15" s="108"/>
      <c r="M15" s="7"/>
      <c r="N15" s="9"/>
      <c r="O15" s="102"/>
      <c r="P15" s="7"/>
      <c r="Q15" s="9"/>
      <c r="R15" s="102"/>
      <c r="S15" s="7"/>
      <c r="T15" s="9"/>
      <c r="U15" s="102"/>
      <c r="V15" s="7"/>
      <c r="W15" s="9"/>
      <c r="X15" s="102"/>
      <c r="Y15" s="7"/>
      <c r="Z15" s="9"/>
      <c r="AA15" s="102"/>
      <c r="AB15" s="7"/>
      <c r="AC15" s="9"/>
      <c r="AD15" s="99"/>
      <c r="AE15" s="7"/>
      <c r="AF15" s="9"/>
      <c r="AG15" s="94"/>
      <c r="AH15" s="7"/>
      <c r="AI15" s="94"/>
      <c r="AJ15" s="7"/>
      <c r="AK15" s="9"/>
      <c r="AL15" s="9"/>
      <c r="AM15" s="9"/>
      <c r="AN15" s="9"/>
      <c r="AO15" s="7"/>
      <c r="AP15" s="72"/>
      <c r="AQ15" s="72"/>
      <c r="AR15" s="72"/>
      <c r="AS15" s="72"/>
      <c r="AT15" s="99"/>
      <c r="AU15" s="7"/>
      <c r="AV15" s="138"/>
      <c r="AW15" s="143"/>
    </row>
    <row r="16" spans="1:49" hidden="1" x14ac:dyDescent="0.25">
      <c r="A16" s="354"/>
      <c r="B16" s="211" t="s">
        <v>13</v>
      </c>
      <c r="C16" s="119"/>
      <c r="D16" s="7"/>
      <c r="E16" s="9"/>
      <c r="F16" s="91"/>
      <c r="G16" s="7"/>
      <c r="H16" s="9"/>
      <c r="I16" s="96"/>
      <c r="J16" s="105"/>
      <c r="K16" s="117"/>
      <c r="L16" s="108"/>
      <c r="M16" s="7"/>
      <c r="N16" s="9"/>
      <c r="O16" s="102"/>
      <c r="P16" s="7"/>
      <c r="Q16" s="9"/>
      <c r="R16" s="102"/>
      <c r="S16" s="7"/>
      <c r="T16" s="9"/>
      <c r="U16" s="102"/>
      <c r="V16" s="7"/>
      <c r="W16" s="9"/>
      <c r="X16" s="102"/>
      <c r="Y16" s="7"/>
      <c r="Z16" s="9"/>
      <c r="AA16" s="102"/>
      <c r="AB16" s="7"/>
      <c r="AC16" s="9"/>
      <c r="AD16" s="99"/>
      <c r="AE16" s="7"/>
      <c r="AF16" s="9"/>
      <c r="AG16" s="94"/>
      <c r="AH16" s="7"/>
      <c r="AI16" s="94"/>
      <c r="AJ16" s="7"/>
      <c r="AK16" s="9"/>
      <c r="AL16" s="9"/>
      <c r="AM16" s="9"/>
      <c r="AN16" s="301"/>
      <c r="AO16" s="7"/>
      <c r="AP16" s="72"/>
      <c r="AQ16" s="72"/>
      <c r="AR16" s="72"/>
      <c r="AS16" s="72"/>
      <c r="AT16" s="99"/>
      <c r="AU16" s="7"/>
      <c r="AV16" s="138"/>
      <c r="AW16" s="143"/>
    </row>
    <row r="17" spans="1:49" ht="15.75" hidden="1" thickBot="1" x14ac:dyDescent="0.3">
      <c r="A17" s="354"/>
      <c r="B17" s="212" t="s">
        <v>14</v>
      </c>
      <c r="C17" s="120"/>
      <c r="D17" s="88"/>
      <c r="E17" s="89"/>
      <c r="F17" s="92"/>
      <c r="G17" s="88"/>
      <c r="H17" s="89"/>
      <c r="I17" s="97"/>
      <c r="J17" s="105"/>
      <c r="K17" s="121"/>
      <c r="L17" s="109"/>
      <c r="M17" s="88"/>
      <c r="N17" s="89"/>
      <c r="O17" s="103"/>
      <c r="P17" s="88"/>
      <c r="Q17" s="89"/>
      <c r="R17" s="103"/>
      <c r="S17" s="88"/>
      <c r="T17" s="89"/>
      <c r="U17" s="103"/>
      <c r="V17" s="88"/>
      <c r="W17" s="89"/>
      <c r="X17" s="103"/>
      <c r="Y17" s="88"/>
      <c r="Z17" s="89"/>
      <c r="AA17" s="103"/>
      <c r="AB17" s="88"/>
      <c r="AC17" s="89"/>
      <c r="AD17" s="100"/>
      <c r="AE17" s="88"/>
      <c r="AF17" s="89"/>
      <c r="AG17" s="95"/>
      <c r="AH17" s="62"/>
      <c r="AI17" s="95"/>
      <c r="AJ17" s="88"/>
      <c r="AK17" s="89"/>
      <c r="AL17" s="65"/>
      <c r="AM17" s="65"/>
      <c r="AN17" s="65"/>
      <c r="AO17" s="62"/>
      <c r="AP17" s="73"/>
      <c r="AQ17" s="73"/>
      <c r="AR17" s="73"/>
      <c r="AS17" s="73"/>
      <c r="AT17" s="100"/>
      <c r="AU17" s="88"/>
      <c r="AV17" s="139"/>
      <c r="AW17" s="144"/>
    </row>
    <row r="18" spans="1:49" ht="15.75" hidden="1" thickBot="1" x14ac:dyDescent="0.3">
      <c r="A18" s="355"/>
      <c r="B18" s="213" t="s">
        <v>15</v>
      </c>
      <c r="C18" s="122">
        <f t="shared" ref="C18:V18" si="0">SUM(C6:C17)</f>
        <v>0</v>
      </c>
      <c r="D18" s="124">
        <f t="shared" si="0"/>
        <v>0</v>
      </c>
      <c r="E18" s="124">
        <f t="shared" si="0"/>
        <v>0</v>
      </c>
      <c r="F18" s="123">
        <f t="shared" si="0"/>
        <v>0</v>
      </c>
      <c r="G18" s="124">
        <f t="shared" si="0"/>
        <v>0</v>
      </c>
      <c r="H18" s="124">
        <f t="shared" si="0"/>
        <v>0</v>
      </c>
      <c r="I18" s="123">
        <f t="shared" si="0"/>
        <v>0</v>
      </c>
      <c r="J18" s="124">
        <f t="shared" si="0"/>
        <v>0</v>
      </c>
      <c r="K18" s="157">
        <f t="shared" si="0"/>
        <v>0</v>
      </c>
      <c r="L18" s="158">
        <f t="shared" si="0"/>
        <v>0</v>
      </c>
      <c r="M18" s="67">
        <f t="shared" si="0"/>
        <v>0</v>
      </c>
      <c r="N18" s="67">
        <f t="shared" si="0"/>
        <v>0</v>
      </c>
      <c r="O18" s="159">
        <f t="shared" si="0"/>
        <v>0</v>
      </c>
      <c r="P18" s="67">
        <f t="shared" si="0"/>
        <v>0</v>
      </c>
      <c r="Q18" s="67">
        <f t="shared" si="0"/>
        <v>0</v>
      </c>
      <c r="R18" s="69">
        <f t="shared" si="0"/>
        <v>0</v>
      </c>
      <c r="S18" s="67">
        <f t="shared" si="0"/>
        <v>0</v>
      </c>
      <c r="T18" s="67">
        <f t="shared" si="0"/>
        <v>0</v>
      </c>
      <c r="U18" s="69">
        <f t="shared" si="0"/>
        <v>0</v>
      </c>
      <c r="V18" s="67">
        <f t="shared" si="0"/>
        <v>0</v>
      </c>
      <c r="W18" s="67">
        <f>SUM(W6:W17)</f>
        <v>0</v>
      </c>
      <c r="X18" s="69">
        <f t="shared" ref="X18:AD18" si="1">SUM(X6:X17)</f>
        <v>0</v>
      </c>
      <c r="Y18" s="67">
        <f t="shared" si="1"/>
        <v>0</v>
      </c>
      <c r="Z18" s="67">
        <f t="shared" si="1"/>
        <v>0</v>
      </c>
      <c r="AA18" s="69">
        <f t="shared" si="1"/>
        <v>0</v>
      </c>
      <c r="AB18" s="67">
        <f t="shared" si="1"/>
        <v>0</v>
      </c>
      <c r="AC18" s="67">
        <f t="shared" si="1"/>
        <v>0</v>
      </c>
      <c r="AD18" s="68">
        <f t="shared" si="1"/>
        <v>0</v>
      </c>
      <c r="AE18" s="67">
        <f>SUM(AE6:AE17)</f>
        <v>0</v>
      </c>
      <c r="AF18" s="140">
        <f>SUM(AF6:AF17)</f>
        <v>0</v>
      </c>
      <c r="AG18" s="314">
        <f t="shared" ref="AG18:AK18" si="2">SUM(AG6:AG17)</f>
        <v>0</v>
      </c>
      <c r="AH18" s="67">
        <f t="shared" si="2"/>
        <v>0</v>
      </c>
      <c r="AI18" s="68">
        <f t="shared" si="2"/>
        <v>0</v>
      </c>
      <c r="AJ18" s="67">
        <f t="shared" si="2"/>
        <v>0</v>
      </c>
      <c r="AK18" s="80">
        <f t="shared" si="2"/>
        <v>0</v>
      </c>
      <c r="AL18" s="71"/>
      <c r="AM18" s="71">
        <f t="shared" ref="AM18:AP18" si="3">SUM(AM6:AM17)</f>
        <v>0</v>
      </c>
      <c r="AN18" s="71">
        <f t="shared" si="3"/>
        <v>0</v>
      </c>
      <c r="AO18" s="313">
        <f t="shared" si="3"/>
        <v>0</v>
      </c>
      <c r="AP18" s="74">
        <f t="shared" si="3"/>
        <v>0</v>
      </c>
      <c r="AQ18" s="74">
        <f>SUM(AQ6:AQ17)</f>
        <v>0</v>
      </c>
      <c r="AR18" s="74">
        <f t="shared" ref="AR18:AU18" si="4">SUM(AR6:AR17)</f>
        <v>0</v>
      </c>
      <c r="AS18" s="74">
        <f t="shared" si="4"/>
        <v>0</v>
      </c>
      <c r="AT18" s="68">
        <f t="shared" si="4"/>
        <v>0</v>
      </c>
      <c r="AU18" s="67">
        <f t="shared" si="4"/>
        <v>0</v>
      </c>
      <c r="AV18" s="140">
        <f>SUM(AV6:AV17)</f>
        <v>0</v>
      </c>
      <c r="AW18" s="136">
        <f t="shared" ref="AW18" si="5">SUM(AW6:AW17)</f>
        <v>0</v>
      </c>
    </row>
    <row r="19" spans="1:49" ht="15.75" hidden="1" thickBot="1" x14ac:dyDescent="0.3">
      <c r="B19" s="200"/>
      <c r="C19" s="156"/>
      <c r="D19" s="380">
        <f>SUM(E18+D18)</f>
        <v>0</v>
      </c>
      <c r="E19" s="381"/>
      <c r="F19" s="156"/>
      <c r="G19" s="380">
        <f>SUM(H18+G18)</f>
        <v>0</v>
      </c>
      <c r="H19" s="381"/>
      <c r="I19" s="156"/>
      <c r="J19" s="380">
        <f>SUM(K18+J18)</f>
        <v>0</v>
      </c>
      <c r="K19" s="381"/>
      <c r="L19" s="160"/>
      <c r="M19" s="380">
        <f>SUM(N18+M18)</f>
        <v>0</v>
      </c>
      <c r="N19" s="381"/>
      <c r="O19" s="160"/>
      <c r="P19" s="380">
        <f>SUM(Q18+P18)</f>
        <v>0</v>
      </c>
      <c r="Q19" s="381"/>
      <c r="R19" s="160"/>
      <c r="S19" s="380">
        <f>SUM(T18+S18)</f>
        <v>0</v>
      </c>
      <c r="T19" s="381"/>
      <c r="U19" s="160"/>
      <c r="V19" s="380">
        <f>SUM(W18+V18)</f>
        <v>0</v>
      </c>
      <c r="W19" s="381"/>
      <c r="X19" s="160"/>
      <c r="Y19" s="380">
        <f>SUM(Z18+Y18)</f>
        <v>0</v>
      </c>
      <c r="Z19" s="381"/>
      <c r="AA19" s="160"/>
      <c r="AB19" s="380">
        <f>SUM(AC18+AB18)</f>
        <v>0</v>
      </c>
      <c r="AC19" s="381"/>
      <c r="AD19" s="162"/>
      <c r="AE19" s="380">
        <f>SUM(AF18+AE18)</f>
        <v>0</v>
      </c>
      <c r="AF19" s="381"/>
      <c r="AG19" s="152"/>
      <c r="AH19" s="151"/>
      <c r="AI19" s="152"/>
      <c r="AJ19" s="171"/>
      <c r="AK19" s="172"/>
      <c r="AL19" s="154"/>
      <c r="AM19" s="154"/>
      <c r="AN19" s="154"/>
      <c r="AO19" s="151"/>
      <c r="AP19" s="155"/>
      <c r="AQ19" s="155"/>
      <c r="AR19" s="155"/>
      <c r="AS19" s="155"/>
      <c r="AT19" s="152"/>
      <c r="AU19" s="151"/>
      <c r="AV19" s="151"/>
      <c r="AW19" s="133"/>
    </row>
    <row r="20" spans="1:49" ht="15.75" hidden="1" x14ac:dyDescent="0.25">
      <c r="C20" s="302"/>
      <c r="D20" s="31"/>
      <c r="E20" s="303"/>
      <c r="F20" s="302"/>
      <c r="G20" s="296"/>
      <c r="H20" s="304"/>
      <c r="I20" s="302"/>
      <c r="J20" s="296"/>
      <c r="K20" s="296"/>
      <c r="L20" s="167"/>
      <c r="M20" s="31"/>
      <c r="N20" s="31"/>
      <c r="O20" s="167"/>
      <c r="P20" s="31"/>
      <c r="Q20" s="31"/>
      <c r="R20" s="297"/>
      <c r="S20" s="31"/>
      <c r="T20" s="31"/>
      <c r="U20" s="167"/>
      <c r="V20" s="31"/>
      <c r="W20" s="31"/>
      <c r="X20" s="167"/>
      <c r="Y20" s="31"/>
      <c r="Z20" s="31"/>
      <c r="AA20" s="167"/>
      <c r="AB20" s="31"/>
      <c r="AC20" s="31"/>
      <c r="AD20" s="167"/>
      <c r="AE20" s="167"/>
      <c r="AF20" s="167"/>
      <c r="AG20" s="167"/>
      <c r="AH20" s="31"/>
      <c r="AI20" s="167"/>
      <c r="AJ20" s="31"/>
      <c r="AK20" s="131"/>
      <c r="AL20" s="131"/>
      <c r="AM20" s="131"/>
      <c r="AN20" s="131"/>
      <c r="AO20" s="296"/>
      <c r="AP20" s="296"/>
      <c r="AQ20" s="296"/>
      <c r="AR20" s="31"/>
      <c r="AS20" s="131"/>
      <c r="AT20" s="167"/>
      <c r="AU20" s="167"/>
      <c r="AV20" s="167"/>
      <c r="AW20" s="131"/>
    </row>
    <row r="21" spans="1:49" ht="21.75" hidden="1" thickBot="1" x14ac:dyDescent="0.3">
      <c r="B21" s="192"/>
      <c r="C21" s="182"/>
      <c r="D21" s="193"/>
      <c r="E21" s="177"/>
      <c r="F21" s="177">
        <v>2227.21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31"/>
      <c r="X21" s="167"/>
      <c r="Y21" s="31"/>
      <c r="Z21" s="31"/>
      <c r="AA21" s="167"/>
      <c r="AB21" s="31"/>
      <c r="AC21" s="31"/>
      <c r="AD21" s="167"/>
      <c r="AE21" s="167"/>
      <c r="AF21" s="167"/>
      <c r="AG21" s="167"/>
      <c r="AH21" s="31"/>
      <c r="AI21" s="167"/>
      <c r="AJ21" s="31"/>
      <c r="AK21" s="131"/>
      <c r="AL21" s="131"/>
      <c r="AM21" s="131"/>
      <c r="AN21" s="131"/>
      <c r="AO21" s="296"/>
      <c r="AP21" s="296"/>
      <c r="AQ21" s="296"/>
      <c r="AR21" s="31"/>
      <c r="AS21" s="131"/>
      <c r="AT21" s="167"/>
      <c r="AU21" s="167"/>
      <c r="AV21" s="167"/>
      <c r="AW21" s="131"/>
    </row>
    <row r="22" spans="1:49" ht="21" hidden="1" customHeight="1" x14ac:dyDescent="0.35">
      <c r="A22" s="353">
        <v>2026</v>
      </c>
      <c r="B22" s="356" t="s">
        <v>212</v>
      </c>
      <c r="C22" s="356"/>
      <c r="D22" s="356"/>
      <c r="E22" s="356"/>
      <c r="F22" s="357"/>
      <c r="G22" s="177"/>
      <c r="H22" s="358" t="s">
        <v>228</v>
      </c>
      <c r="I22" s="356"/>
      <c r="J22" s="356"/>
      <c r="K22" s="356"/>
      <c r="L22" s="359"/>
      <c r="M22" s="236"/>
      <c r="N22" s="237"/>
      <c r="O22" s="177"/>
      <c r="P22" s="360" t="s">
        <v>231</v>
      </c>
      <c r="Q22" s="361"/>
      <c r="R22" s="362"/>
      <c r="S22" s="177"/>
      <c r="T22" s="363" t="s">
        <v>238</v>
      </c>
      <c r="U22" s="364"/>
      <c r="V22" s="365"/>
      <c r="W22" s="31"/>
      <c r="X22" s="167"/>
      <c r="Y22" s="31"/>
      <c r="Z22" s="31"/>
      <c r="AA22" s="167"/>
      <c r="AB22" s="31"/>
      <c r="AC22" s="31"/>
      <c r="AD22" s="167"/>
      <c r="AE22" s="167"/>
      <c r="AF22" s="167"/>
      <c r="AG22" s="167"/>
      <c r="AH22" s="31"/>
      <c r="AI22" s="167"/>
      <c r="AJ22" s="31"/>
      <c r="AK22" s="131"/>
      <c r="AL22" s="131"/>
      <c r="AM22" s="131"/>
      <c r="AN22" s="131"/>
      <c r="AO22" s="296"/>
      <c r="AP22" s="296"/>
      <c r="AQ22" s="296"/>
      <c r="AR22" s="31"/>
      <c r="AS22" s="131"/>
      <c r="AT22" s="167"/>
      <c r="AU22" s="167"/>
      <c r="AV22" s="167"/>
      <c r="AW22" s="131"/>
    </row>
    <row r="23" spans="1:49" ht="30.75" hidden="1" customHeight="1" thickBot="1" x14ac:dyDescent="0.3">
      <c r="A23" s="354"/>
      <c r="B23" s="324" t="s">
        <v>270</v>
      </c>
      <c r="C23" s="214"/>
      <c r="D23" s="214"/>
      <c r="E23" s="214"/>
      <c r="F23" s="218"/>
      <c r="G23" s="177"/>
      <c r="H23" s="217" t="s">
        <v>267</v>
      </c>
      <c r="I23" s="223"/>
      <c r="J23" s="223"/>
      <c r="K23" s="223"/>
      <c r="L23" s="223"/>
      <c r="M23" s="255"/>
      <c r="N23" s="256"/>
      <c r="O23" s="177"/>
      <c r="P23" s="366" t="s">
        <v>267</v>
      </c>
      <c r="Q23" s="367"/>
      <c r="R23" s="368"/>
      <c r="S23" s="267"/>
      <c r="T23" s="86" t="s">
        <v>239</v>
      </c>
      <c r="U23" s="20" t="s">
        <v>240</v>
      </c>
      <c r="V23" s="14" t="s">
        <v>266</v>
      </c>
      <c r="W23" s="31"/>
      <c r="X23" s="167"/>
      <c r="Y23" s="31"/>
      <c r="Z23" s="31"/>
      <c r="AA23" s="167"/>
      <c r="AB23" s="31"/>
      <c r="AC23" s="31"/>
      <c r="AD23" s="167"/>
      <c r="AE23" s="167"/>
      <c r="AF23" s="167"/>
      <c r="AG23" s="167"/>
      <c r="AH23" s="31"/>
      <c r="AI23" s="167"/>
      <c r="AJ23" s="31"/>
      <c r="AK23" s="131"/>
      <c r="AL23" s="131"/>
      <c r="AM23" s="131"/>
      <c r="AN23" s="131"/>
      <c r="AO23" s="296"/>
      <c r="AP23" s="296"/>
      <c r="AQ23" s="296"/>
      <c r="AR23" s="31"/>
      <c r="AS23" s="131"/>
      <c r="AT23" s="167"/>
      <c r="AU23" s="167"/>
      <c r="AV23" s="167"/>
      <c r="AW23" s="131"/>
    </row>
    <row r="24" spans="1:49" ht="21.75" hidden="1" customHeight="1" thickBot="1" x14ac:dyDescent="0.3">
      <c r="A24" s="354"/>
      <c r="B24" s="325" t="s">
        <v>0</v>
      </c>
      <c r="C24" s="220" t="s">
        <v>213</v>
      </c>
      <c r="D24" s="220" t="s">
        <v>214</v>
      </c>
      <c r="E24" s="220" t="s">
        <v>170</v>
      </c>
      <c r="F24" s="221" t="s">
        <v>215</v>
      </c>
      <c r="G24" s="177"/>
      <c r="H24" s="244" t="s">
        <v>0</v>
      </c>
      <c r="I24" s="246" t="s">
        <v>224</v>
      </c>
      <c r="J24" s="259" t="s">
        <v>225</v>
      </c>
      <c r="K24" s="246" t="s">
        <v>226</v>
      </c>
      <c r="L24" s="247" t="s">
        <v>229</v>
      </c>
      <c r="M24" s="262" t="s">
        <v>227</v>
      </c>
      <c r="N24" s="247" t="s">
        <v>225</v>
      </c>
      <c r="O24" s="177"/>
      <c r="P24" s="277" t="s">
        <v>0</v>
      </c>
      <c r="Q24" s="273" t="s">
        <v>224</v>
      </c>
      <c r="R24" s="247" t="s">
        <v>225</v>
      </c>
      <c r="S24" s="177"/>
      <c r="T24" s="290" t="s">
        <v>151</v>
      </c>
      <c r="U24" s="291" t="s">
        <v>151</v>
      </c>
      <c r="V24" s="292" t="s">
        <v>1</v>
      </c>
      <c r="W24" s="31"/>
      <c r="X24" s="167"/>
      <c r="Y24" s="31"/>
      <c r="Z24" s="31"/>
      <c r="AA24" s="167"/>
      <c r="AB24" s="31"/>
      <c r="AC24" s="31"/>
      <c r="AD24" s="167"/>
      <c r="AE24" s="167"/>
      <c r="AF24" s="167"/>
      <c r="AG24" s="167"/>
      <c r="AH24" s="31"/>
      <c r="AI24" s="167"/>
      <c r="AJ24" s="31"/>
      <c r="AK24" s="131"/>
      <c r="AL24" s="131"/>
      <c r="AM24" s="131"/>
      <c r="AN24" s="131"/>
      <c r="AO24" s="296"/>
      <c r="AP24" s="296"/>
      <c r="AQ24" s="296"/>
      <c r="AR24" s="31"/>
      <c r="AS24" s="131"/>
      <c r="AT24" s="167"/>
      <c r="AU24" s="167"/>
      <c r="AV24" s="167"/>
      <c r="AW24" s="131"/>
    </row>
    <row r="25" spans="1:49" ht="21" hidden="1" customHeight="1" x14ac:dyDescent="0.25">
      <c r="A25" s="354"/>
      <c r="B25" s="208"/>
      <c r="C25" s="223"/>
      <c r="D25" s="224" t="s">
        <v>2</v>
      </c>
      <c r="E25" s="224" t="s">
        <v>1</v>
      </c>
      <c r="F25" s="225"/>
      <c r="G25" s="177"/>
      <c r="H25" s="245"/>
      <c r="I25" s="369" t="s">
        <v>230</v>
      </c>
      <c r="J25" s="370"/>
      <c r="K25" s="371" t="s">
        <v>230</v>
      </c>
      <c r="L25" s="370"/>
      <c r="M25" s="372" t="s">
        <v>230</v>
      </c>
      <c r="N25" s="370"/>
      <c r="O25" s="177"/>
      <c r="P25" s="278"/>
      <c r="Q25" s="373" t="s">
        <v>232</v>
      </c>
      <c r="R25" s="374"/>
      <c r="S25" s="177"/>
      <c r="T25" s="101"/>
      <c r="U25" s="3"/>
      <c r="V25" s="21"/>
      <c r="W25" s="31"/>
      <c r="X25" s="167"/>
      <c r="Y25" s="31"/>
      <c r="Z25" s="31"/>
      <c r="AA25" s="167"/>
      <c r="AB25" s="31"/>
      <c r="AC25" s="31"/>
      <c r="AD25" s="167"/>
      <c r="AE25" s="167"/>
      <c r="AF25" s="167"/>
      <c r="AG25" s="167"/>
      <c r="AH25" s="31"/>
      <c r="AI25" s="167"/>
      <c r="AJ25" s="31"/>
      <c r="AK25" s="131"/>
      <c r="AL25" s="131"/>
      <c r="AM25" s="131"/>
      <c r="AN25" s="131"/>
      <c r="AO25" s="296"/>
      <c r="AP25" s="296"/>
      <c r="AQ25" s="296"/>
      <c r="AR25" s="31"/>
      <c r="AS25" s="131"/>
      <c r="AT25" s="167"/>
      <c r="AU25" s="167"/>
      <c r="AV25" s="167"/>
      <c r="AW25" s="131"/>
    </row>
    <row r="26" spans="1:49" ht="21" hidden="1" customHeight="1" x14ac:dyDescent="0.25">
      <c r="A26" s="354"/>
      <c r="B26" s="207" t="s">
        <v>3</v>
      </c>
      <c r="C26" s="214"/>
      <c r="D26" s="226"/>
      <c r="E26" s="226"/>
      <c r="F26" s="218"/>
      <c r="G26" s="177"/>
      <c r="H26" s="245" t="s">
        <v>245</v>
      </c>
      <c r="I26" s="248"/>
      <c r="J26" s="260"/>
      <c r="K26" s="266"/>
      <c r="L26" s="238"/>
      <c r="M26" s="251"/>
      <c r="N26" s="238"/>
      <c r="O26" s="177"/>
      <c r="P26" s="278" t="s">
        <v>245</v>
      </c>
      <c r="Q26" s="274"/>
      <c r="R26" s="268"/>
      <c r="S26" s="177"/>
      <c r="T26" s="102"/>
      <c r="U26" s="7"/>
      <c r="V26" s="9"/>
      <c r="W26" s="31"/>
      <c r="X26" s="167"/>
      <c r="Y26" s="31"/>
      <c r="Z26" s="31"/>
      <c r="AA26" s="167"/>
      <c r="AB26" s="31"/>
      <c r="AC26" s="31"/>
      <c r="AD26" s="167"/>
      <c r="AE26" s="167"/>
      <c r="AF26" s="167"/>
      <c r="AG26" s="167"/>
      <c r="AH26" s="31"/>
      <c r="AI26" s="167"/>
      <c r="AJ26" s="31"/>
      <c r="AK26" s="131"/>
      <c r="AL26" s="131"/>
      <c r="AM26" s="131"/>
      <c r="AN26" s="131"/>
      <c r="AO26" s="296"/>
      <c r="AP26" s="296"/>
      <c r="AQ26" s="296"/>
      <c r="AR26" s="31"/>
      <c r="AS26" s="131"/>
      <c r="AT26" s="167"/>
      <c r="AU26" s="167"/>
      <c r="AV26" s="167"/>
      <c r="AW26" s="131"/>
    </row>
    <row r="27" spans="1:49" ht="21" hidden="1" customHeight="1" x14ac:dyDescent="0.25">
      <c r="A27" s="354"/>
      <c r="B27" s="207" t="s">
        <v>4</v>
      </c>
      <c r="C27" s="214"/>
      <c r="D27" s="226"/>
      <c r="E27" s="226"/>
      <c r="F27" s="218"/>
      <c r="G27" s="177"/>
      <c r="H27" s="245" t="s">
        <v>4</v>
      </c>
      <c r="I27" s="248"/>
      <c r="J27" s="260"/>
      <c r="K27" s="266"/>
      <c r="L27" s="238"/>
      <c r="M27" s="251"/>
      <c r="N27" s="238"/>
      <c r="O27" s="177"/>
      <c r="P27" s="278" t="s">
        <v>4</v>
      </c>
      <c r="Q27" s="274"/>
      <c r="R27" s="268"/>
      <c r="S27" s="177"/>
      <c r="T27" s="102"/>
      <c r="U27" s="7"/>
      <c r="V27" s="9"/>
      <c r="W27" s="31"/>
      <c r="X27" s="167"/>
      <c r="Y27" s="31"/>
      <c r="Z27" s="31"/>
      <c r="AA27" s="167"/>
      <c r="AB27" s="31"/>
      <c r="AC27" s="31"/>
      <c r="AD27" s="167"/>
      <c r="AE27" s="167"/>
      <c r="AF27" s="167"/>
      <c r="AG27" s="167"/>
      <c r="AH27" s="31"/>
      <c r="AI27" s="167"/>
      <c r="AJ27" s="31"/>
      <c r="AK27" s="131"/>
      <c r="AL27" s="131"/>
      <c r="AM27" s="131"/>
      <c r="AN27" s="131"/>
      <c r="AO27" s="296"/>
      <c r="AP27" s="296"/>
      <c r="AQ27" s="296"/>
      <c r="AR27" s="31"/>
      <c r="AS27" s="131"/>
      <c r="AT27" s="167"/>
      <c r="AU27" s="167"/>
      <c r="AV27" s="167"/>
      <c r="AW27" s="131"/>
    </row>
    <row r="28" spans="1:49" ht="21" hidden="1" customHeight="1" x14ac:dyDescent="0.25">
      <c r="A28" s="354"/>
      <c r="B28" s="207" t="s">
        <v>5</v>
      </c>
      <c r="C28" s="214"/>
      <c r="D28" s="226"/>
      <c r="E28" s="226"/>
      <c r="F28" s="218"/>
      <c r="G28" s="177"/>
      <c r="H28" s="245" t="s">
        <v>246</v>
      </c>
      <c r="I28" s="248"/>
      <c r="J28" s="260"/>
      <c r="K28" s="266"/>
      <c r="L28" s="238"/>
      <c r="M28" s="251"/>
      <c r="N28" s="238"/>
      <c r="O28" s="177"/>
      <c r="P28" s="278" t="s">
        <v>246</v>
      </c>
      <c r="Q28" s="274"/>
      <c r="R28" s="268"/>
      <c r="S28" s="177"/>
      <c r="T28" s="102"/>
      <c r="U28" s="7"/>
      <c r="V28" s="9"/>
      <c r="W28" s="31"/>
      <c r="X28" s="167"/>
      <c r="Y28" s="31"/>
      <c r="Z28" s="31"/>
      <c r="AA28" s="167"/>
      <c r="AB28" s="31"/>
      <c r="AC28" s="31"/>
      <c r="AD28" s="167"/>
      <c r="AE28" s="167"/>
      <c r="AF28" s="167"/>
      <c r="AG28" s="167"/>
      <c r="AH28" s="31"/>
      <c r="AI28" s="167"/>
      <c r="AJ28" s="31"/>
      <c r="AK28" s="131"/>
      <c r="AL28" s="131"/>
      <c r="AM28" s="131"/>
      <c r="AN28" s="131"/>
      <c r="AO28" s="296"/>
      <c r="AP28" s="296"/>
      <c r="AQ28" s="296"/>
      <c r="AR28" s="31"/>
      <c r="AS28" s="131"/>
      <c r="AT28" s="167"/>
      <c r="AU28" s="167"/>
      <c r="AV28" s="167"/>
      <c r="AW28" s="131"/>
    </row>
    <row r="29" spans="1:49" ht="21" hidden="1" customHeight="1" x14ac:dyDescent="0.25">
      <c r="A29" s="354"/>
      <c r="B29" s="207" t="s">
        <v>6</v>
      </c>
      <c r="C29" s="214"/>
      <c r="D29" s="226"/>
      <c r="E29" s="226"/>
      <c r="F29" s="218"/>
      <c r="G29" s="177"/>
      <c r="H29" s="245" t="s">
        <v>247</v>
      </c>
      <c r="I29" s="248"/>
      <c r="J29" s="260"/>
      <c r="K29" s="266"/>
      <c r="L29" s="238"/>
      <c r="M29" s="251"/>
      <c r="N29" s="238"/>
      <c r="O29" s="177"/>
      <c r="P29" s="278" t="s">
        <v>247</v>
      </c>
      <c r="Q29" s="274"/>
      <c r="R29" s="268"/>
      <c r="S29" s="177"/>
      <c r="T29" s="102"/>
      <c r="U29" s="7"/>
      <c r="V29" s="9"/>
      <c r="W29" s="31"/>
      <c r="X29" s="167"/>
      <c r="Y29" s="31"/>
      <c r="Z29" s="31"/>
      <c r="AA29" s="167"/>
      <c r="AB29" s="31"/>
      <c r="AC29" s="31"/>
      <c r="AD29" s="167"/>
      <c r="AE29" s="167"/>
      <c r="AF29" s="167"/>
      <c r="AG29" s="167"/>
      <c r="AH29" s="31"/>
      <c r="AI29" s="167"/>
      <c r="AJ29" s="31"/>
      <c r="AK29" s="131"/>
      <c r="AL29" s="131"/>
      <c r="AM29" s="131"/>
      <c r="AN29" s="131"/>
      <c r="AO29" s="296"/>
      <c r="AP29" s="296"/>
      <c r="AQ29" s="296"/>
      <c r="AR29" s="31"/>
      <c r="AS29" s="131"/>
      <c r="AT29" s="167"/>
      <c r="AU29" s="167"/>
      <c r="AV29" s="167"/>
      <c r="AW29" s="131"/>
    </row>
    <row r="30" spans="1:49" ht="21" hidden="1" customHeight="1" x14ac:dyDescent="0.25">
      <c r="A30" s="354"/>
      <c r="B30" s="207" t="s">
        <v>7</v>
      </c>
      <c r="C30" s="214"/>
      <c r="D30" s="226"/>
      <c r="E30" s="226"/>
      <c r="F30" s="218"/>
      <c r="G30" s="177"/>
      <c r="H30" s="245" t="s">
        <v>248</v>
      </c>
      <c r="I30" s="248"/>
      <c r="J30" s="260"/>
      <c r="K30" s="266"/>
      <c r="L30" s="238"/>
      <c r="M30" s="251"/>
      <c r="N30" s="238"/>
      <c r="O30" s="177"/>
      <c r="P30" s="278" t="s">
        <v>248</v>
      </c>
      <c r="Q30" s="274"/>
      <c r="R30" s="268"/>
      <c r="S30" s="177"/>
      <c r="T30" s="102"/>
      <c r="U30" s="7"/>
      <c r="V30" s="9"/>
      <c r="W30" s="31"/>
      <c r="X30" s="167"/>
      <c r="Y30" s="31"/>
      <c r="Z30" s="31"/>
      <c r="AA30" s="167"/>
      <c r="AB30" s="31"/>
      <c r="AC30" s="31"/>
      <c r="AD30" s="167"/>
      <c r="AE30" s="167"/>
      <c r="AF30" s="167"/>
      <c r="AG30" s="167"/>
      <c r="AH30" s="31"/>
      <c r="AI30" s="167"/>
      <c r="AJ30" s="31"/>
      <c r="AK30" s="131"/>
      <c r="AL30" s="131"/>
      <c r="AM30" s="131"/>
      <c r="AN30" s="131"/>
      <c r="AO30" s="296"/>
      <c r="AP30" s="296"/>
      <c r="AQ30" s="296"/>
      <c r="AR30" s="31"/>
      <c r="AS30" s="131"/>
      <c r="AT30" s="167"/>
      <c r="AU30" s="167"/>
      <c r="AV30" s="167"/>
      <c r="AW30" s="131"/>
    </row>
    <row r="31" spans="1:49" ht="21" hidden="1" customHeight="1" x14ac:dyDescent="0.25">
      <c r="A31" s="354"/>
      <c r="B31" s="207" t="s">
        <v>8</v>
      </c>
      <c r="C31" s="214"/>
      <c r="D31" s="226"/>
      <c r="E31" s="226"/>
      <c r="F31" s="218"/>
      <c r="G31" s="177"/>
      <c r="H31" s="245" t="s">
        <v>249</v>
      </c>
      <c r="I31" s="248"/>
      <c r="J31" s="260"/>
      <c r="K31" s="266"/>
      <c r="L31" s="238"/>
      <c r="M31" s="251"/>
      <c r="N31" s="238"/>
      <c r="O31" s="177"/>
      <c r="P31" s="278" t="s">
        <v>249</v>
      </c>
      <c r="Q31" s="274"/>
      <c r="R31" s="268"/>
      <c r="S31" s="177"/>
      <c r="T31" s="102"/>
      <c r="U31" s="7"/>
      <c r="V31" s="9"/>
      <c r="W31" s="31"/>
      <c r="X31" s="167"/>
      <c r="Y31" s="31"/>
      <c r="Z31" s="31"/>
      <c r="AA31" s="167"/>
      <c r="AB31" s="31"/>
      <c r="AC31" s="31"/>
      <c r="AD31" s="167"/>
      <c r="AE31" s="167"/>
      <c r="AF31" s="167"/>
      <c r="AG31" s="167"/>
      <c r="AH31" s="31"/>
      <c r="AI31" s="167"/>
      <c r="AJ31" s="31"/>
      <c r="AK31" s="131"/>
      <c r="AL31" s="131"/>
      <c r="AM31" s="131"/>
      <c r="AN31" s="131"/>
      <c r="AO31" s="296"/>
      <c r="AP31" s="296"/>
      <c r="AQ31" s="296"/>
      <c r="AR31" s="31"/>
      <c r="AS31" s="131"/>
      <c r="AT31" s="167"/>
      <c r="AU31" s="167"/>
      <c r="AV31" s="167"/>
      <c r="AW31" s="131"/>
    </row>
    <row r="32" spans="1:49" ht="21" hidden="1" customHeight="1" x14ac:dyDescent="0.25">
      <c r="A32" s="354"/>
      <c r="B32" s="207" t="s">
        <v>9</v>
      </c>
      <c r="C32" s="214"/>
      <c r="D32" s="226"/>
      <c r="E32" s="226"/>
      <c r="F32" s="218"/>
      <c r="G32" s="177"/>
      <c r="H32" s="245" t="s">
        <v>250</v>
      </c>
      <c r="I32" s="248"/>
      <c r="J32" s="260"/>
      <c r="K32" s="266"/>
      <c r="L32" s="238"/>
      <c r="M32" s="251"/>
      <c r="N32" s="238"/>
      <c r="O32" s="177"/>
      <c r="P32" s="278" t="s">
        <v>250</v>
      </c>
      <c r="Q32" s="274"/>
      <c r="R32" s="268"/>
      <c r="S32" s="177"/>
      <c r="T32" s="102"/>
      <c r="U32" s="7"/>
      <c r="V32" s="9"/>
      <c r="W32" s="31"/>
      <c r="X32" s="167"/>
      <c r="Y32" s="31"/>
      <c r="Z32" s="31"/>
      <c r="AA32" s="167"/>
      <c r="AB32" s="31"/>
      <c r="AC32" s="31"/>
      <c r="AD32" s="167"/>
      <c r="AE32" s="167"/>
      <c r="AF32" s="167"/>
      <c r="AG32" s="167"/>
      <c r="AH32" s="31"/>
      <c r="AI32" s="167"/>
      <c r="AJ32" s="31"/>
      <c r="AK32" s="131"/>
      <c r="AL32" s="131"/>
      <c r="AM32" s="131"/>
      <c r="AN32" s="131"/>
      <c r="AO32" s="296"/>
      <c r="AP32" s="296"/>
      <c r="AQ32" s="296"/>
      <c r="AR32" s="31"/>
      <c r="AS32" s="131"/>
      <c r="AT32" s="167"/>
      <c r="AU32" s="167"/>
      <c r="AV32" s="167"/>
      <c r="AW32" s="131"/>
    </row>
    <row r="33" spans="1:49" ht="21" hidden="1" customHeight="1" x14ac:dyDescent="0.25">
      <c r="A33" s="354"/>
      <c r="B33" s="207" t="s">
        <v>10</v>
      </c>
      <c r="C33" s="214"/>
      <c r="D33" s="226"/>
      <c r="E33" s="226"/>
      <c r="F33" s="218"/>
      <c r="G33" s="177"/>
      <c r="H33" s="245" t="s">
        <v>251</v>
      </c>
      <c r="I33" s="248"/>
      <c r="J33" s="260"/>
      <c r="K33" s="266"/>
      <c r="L33" s="238"/>
      <c r="M33" s="251"/>
      <c r="N33" s="238"/>
      <c r="O33" s="177"/>
      <c r="P33" s="278" t="s">
        <v>251</v>
      </c>
      <c r="Q33" s="274"/>
      <c r="R33" s="268"/>
      <c r="S33" s="177"/>
      <c r="T33" s="102"/>
      <c r="U33" s="7"/>
      <c r="V33" s="9"/>
      <c r="W33" s="31"/>
      <c r="X33" s="167"/>
      <c r="Y33" s="31"/>
      <c r="Z33" s="31"/>
      <c r="AA33" s="167"/>
      <c r="AB33" s="31"/>
      <c r="AC33" s="31"/>
      <c r="AD33" s="167"/>
      <c r="AE33" s="167"/>
      <c r="AF33" s="167"/>
      <c r="AG33" s="167"/>
      <c r="AH33" s="31"/>
      <c r="AI33" s="167"/>
      <c r="AJ33" s="31"/>
      <c r="AK33" s="131"/>
      <c r="AL33" s="131"/>
      <c r="AM33" s="131"/>
      <c r="AN33" s="131"/>
      <c r="AO33" s="296"/>
      <c r="AP33" s="296"/>
      <c r="AQ33" s="296"/>
      <c r="AR33" s="31"/>
      <c r="AS33" s="131"/>
      <c r="AT33" s="167"/>
      <c r="AU33" s="167"/>
      <c r="AV33" s="167"/>
      <c r="AW33" s="131"/>
    </row>
    <row r="34" spans="1:49" ht="21" hidden="1" customHeight="1" x14ac:dyDescent="0.25">
      <c r="A34" s="354"/>
      <c r="B34" s="207" t="s">
        <v>11</v>
      </c>
      <c r="C34" s="214"/>
      <c r="D34" s="226"/>
      <c r="E34" s="226"/>
      <c r="F34" s="218"/>
      <c r="G34" s="177"/>
      <c r="H34" s="245" t="s">
        <v>252</v>
      </c>
      <c r="I34" s="248"/>
      <c r="J34" s="260"/>
      <c r="K34" s="266"/>
      <c r="L34" s="238"/>
      <c r="M34" s="251"/>
      <c r="N34" s="238"/>
      <c r="O34" s="177"/>
      <c r="P34" s="278" t="s">
        <v>252</v>
      </c>
      <c r="Q34" s="274"/>
      <c r="R34" s="268"/>
      <c r="S34" s="177"/>
      <c r="T34" s="102"/>
      <c r="U34" s="7"/>
      <c r="V34" s="9"/>
      <c r="W34" s="31"/>
      <c r="X34" s="167"/>
      <c r="Y34" s="31"/>
      <c r="Z34" s="31"/>
      <c r="AA34" s="167"/>
      <c r="AB34" s="31"/>
      <c r="AC34" s="31"/>
      <c r="AD34" s="167"/>
      <c r="AE34" s="167"/>
      <c r="AF34" s="167"/>
      <c r="AG34" s="167"/>
      <c r="AH34" s="31"/>
      <c r="AI34" s="167"/>
      <c r="AJ34" s="31"/>
      <c r="AK34" s="131"/>
      <c r="AL34" s="131"/>
      <c r="AM34" s="131"/>
      <c r="AN34" s="131"/>
      <c r="AO34" s="296"/>
      <c r="AP34" s="296"/>
      <c r="AQ34" s="296"/>
      <c r="AR34" s="31"/>
      <c r="AS34" s="131"/>
      <c r="AT34" s="167"/>
      <c r="AU34" s="167"/>
      <c r="AV34" s="167"/>
      <c r="AW34" s="131"/>
    </row>
    <row r="35" spans="1:49" ht="21" hidden="1" customHeight="1" x14ac:dyDescent="0.25">
      <c r="A35" s="354"/>
      <c r="B35" s="207" t="s">
        <v>12</v>
      </c>
      <c r="C35" s="214"/>
      <c r="D35" s="226"/>
      <c r="E35" s="226"/>
      <c r="F35" s="218"/>
      <c r="G35" s="177"/>
      <c r="H35" s="245" t="s">
        <v>254</v>
      </c>
      <c r="I35" s="248"/>
      <c r="J35" s="260"/>
      <c r="K35" s="266"/>
      <c r="L35" s="238"/>
      <c r="M35" s="251"/>
      <c r="N35" s="238"/>
      <c r="O35" s="177"/>
      <c r="P35" s="278" t="s">
        <v>253</v>
      </c>
      <c r="Q35" s="274"/>
      <c r="R35" s="268"/>
      <c r="S35" s="177"/>
      <c r="T35" s="102"/>
      <c r="U35" s="7"/>
      <c r="V35" s="9"/>
      <c r="W35" s="31"/>
      <c r="X35" s="167"/>
      <c r="Y35" s="31"/>
      <c r="Z35" s="31"/>
      <c r="AA35" s="167"/>
      <c r="AB35" s="31"/>
      <c r="AC35" s="31"/>
      <c r="AD35" s="167"/>
      <c r="AE35" s="167"/>
      <c r="AF35" s="167"/>
      <c r="AG35" s="167"/>
      <c r="AH35" s="31"/>
      <c r="AI35" s="167"/>
      <c r="AJ35" s="31"/>
      <c r="AK35" s="131"/>
      <c r="AL35" s="131"/>
      <c r="AM35" s="131"/>
      <c r="AN35" s="131"/>
      <c r="AO35" s="296"/>
      <c r="AP35" s="296"/>
      <c r="AQ35" s="296"/>
      <c r="AR35" s="31"/>
      <c r="AS35" s="131"/>
      <c r="AT35" s="167"/>
      <c r="AU35" s="167"/>
      <c r="AV35" s="167"/>
      <c r="AW35" s="131"/>
    </row>
    <row r="36" spans="1:49" ht="21" hidden="1" customHeight="1" x14ac:dyDescent="0.25">
      <c r="A36" s="354"/>
      <c r="B36" s="207" t="s">
        <v>13</v>
      </c>
      <c r="C36" s="227"/>
      <c r="D36" s="226"/>
      <c r="E36" s="226"/>
      <c r="F36" s="218"/>
      <c r="G36" s="177"/>
      <c r="H36" s="245" t="s">
        <v>259</v>
      </c>
      <c r="I36" s="249"/>
      <c r="J36" s="260"/>
      <c r="K36" s="266"/>
      <c r="L36" s="238"/>
      <c r="M36" s="251"/>
      <c r="N36" s="238"/>
      <c r="O36" s="177"/>
      <c r="P36" s="278" t="s">
        <v>259</v>
      </c>
      <c r="Q36" s="275"/>
      <c r="R36" s="268"/>
      <c r="S36" s="177"/>
      <c r="T36" s="102"/>
      <c r="U36" s="7"/>
      <c r="V36" s="9"/>
      <c r="W36" s="31"/>
      <c r="X36" s="167"/>
      <c r="Y36" s="31"/>
      <c r="Z36" s="31"/>
      <c r="AA36" s="167"/>
      <c r="AB36" s="31"/>
      <c r="AC36" s="31"/>
      <c r="AD36" s="167"/>
      <c r="AE36" s="167"/>
      <c r="AF36" s="167"/>
      <c r="AG36" s="167"/>
      <c r="AH36" s="31"/>
      <c r="AI36" s="167"/>
      <c r="AJ36" s="31"/>
      <c r="AK36" s="131"/>
      <c r="AL36" s="131"/>
      <c r="AM36" s="131"/>
      <c r="AN36" s="131"/>
      <c r="AO36" s="296"/>
      <c r="AP36" s="296"/>
      <c r="AQ36" s="296"/>
      <c r="AR36" s="31"/>
      <c r="AS36" s="131"/>
      <c r="AT36" s="167"/>
      <c r="AU36" s="167"/>
      <c r="AV36" s="167"/>
      <c r="AW36" s="131"/>
    </row>
    <row r="37" spans="1:49" ht="21.75" hidden="1" customHeight="1" thickBot="1" x14ac:dyDescent="0.3">
      <c r="A37" s="355"/>
      <c r="B37" s="207" t="s">
        <v>14</v>
      </c>
      <c r="C37" s="214"/>
      <c r="D37" s="226"/>
      <c r="E37" s="226"/>
      <c r="F37" s="218"/>
      <c r="G37" s="177"/>
      <c r="H37" s="245" t="s">
        <v>260</v>
      </c>
      <c r="I37" s="250"/>
      <c r="J37" s="261"/>
      <c r="K37" s="295"/>
      <c r="L37" s="254"/>
      <c r="M37" s="263"/>
      <c r="N37" s="254"/>
      <c r="O37" s="177"/>
      <c r="P37" s="279" t="s">
        <v>260</v>
      </c>
      <c r="Q37" s="276"/>
      <c r="R37" s="269"/>
      <c r="S37" s="177"/>
      <c r="T37" s="15"/>
      <c r="U37" s="17"/>
      <c r="V37" s="78"/>
      <c r="W37" s="31"/>
      <c r="X37" s="167"/>
      <c r="Y37" s="31"/>
      <c r="Z37" s="31"/>
      <c r="AA37" s="167"/>
      <c r="AB37" s="31"/>
      <c r="AC37" s="31"/>
      <c r="AD37" s="167"/>
      <c r="AE37" s="167"/>
      <c r="AF37" s="167"/>
      <c r="AG37" s="167"/>
      <c r="AH37" s="31"/>
      <c r="AI37" s="167"/>
      <c r="AJ37" s="31"/>
      <c r="AK37" s="131"/>
      <c r="AL37" s="131"/>
      <c r="AM37" s="131"/>
      <c r="AN37" s="131"/>
      <c r="AO37" s="296"/>
      <c r="AP37" s="296"/>
      <c r="AQ37" s="296"/>
      <c r="AR37" s="31"/>
      <c r="AS37" s="131"/>
      <c r="AT37" s="167"/>
      <c r="AU37" s="167"/>
      <c r="AV37" s="167"/>
      <c r="AW37" s="131"/>
    </row>
    <row r="38" spans="1:49" ht="21.75" hidden="1" customHeight="1" thickBot="1" x14ac:dyDescent="0.3">
      <c r="A38" s="353"/>
      <c r="B38" s="326" t="s">
        <v>15</v>
      </c>
      <c r="C38" s="228">
        <f>SUM(C26:C37)</f>
        <v>0</v>
      </c>
      <c r="D38" s="229">
        <f>SUM(D26:D37)</f>
        <v>0</v>
      </c>
      <c r="E38" s="229">
        <f>SUM(E26:E37)</f>
        <v>0</v>
      </c>
      <c r="F38" s="230"/>
      <c r="G38" s="177"/>
      <c r="H38" s="239" t="s">
        <v>15</v>
      </c>
      <c r="I38" s="228">
        <f t="shared" ref="I38:J38" si="6">SUM(I26:I37)</f>
        <v>0</v>
      </c>
      <c r="J38" s="229">
        <f t="shared" si="6"/>
        <v>0</v>
      </c>
      <c r="K38" s="265">
        <f>SUM(K26:K37)</f>
        <v>0</v>
      </c>
      <c r="L38" s="252">
        <f t="shared" ref="L38:N38" si="7">SUM(L26:L37)</f>
        <v>0</v>
      </c>
      <c r="M38" s="257">
        <f t="shared" si="7"/>
        <v>0</v>
      </c>
      <c r="N38" s="258">
        <f t="shared" si="7"/>
        <v>0</v>
      </c>
      <c r="O38" s="177"/>
      <c r="P38" s="270" t="s">
        <v>15</v>
      </c>
      <c r="Q38" s="271">
        <f t="shared" ref="Q38:R38" si="8">SUM(Q26:Q37)</f>
        <v>0</v>
      </c>
      <c r="R38" s="272">
        <f t="shared" si="8"/>
        <v>0</v>
      </c>
      <c r="S38" s="177"/>
      <c r="T38" s="293">
        <f>SUM(T25:T36)</f>
        <v>0</v>
      </c>
      <c r="U38" s="173">
        <f>SUM(U25:U36)</f>
        <v>0</v>
      </c>
      <c r="V38" s="294">
        <f>SUM(V25:V36)</f>
        <v>0</v>
      </c>
      <c r="W38" s="31"/>
      <c r="X38" s="167"/>
      <c r="Y38" s="31"/>
      <c r="Z38" s="31"/>
      <c r="AA38" s="167"/>
      <c r="AB38" s="31"/>
      <c r="AC38" s="31"/>
      <c r="AD38" s="167"/>
      <c r="AE38" s="167"/>
      <c r="AF38" s="167"/>
      <c r="AG38" s="167"/>
      <c r="AH38" s="31"/>
      <c r="AI38" s="167"/>
      <c r="AJ38" s="31"/>
      <c r="AK38" s="131"/>
      <c r="AL38" s="131"/>
      <c r="AM38" s="131"/>
      <c r="AN38" s="131"/>
      <c r="AO38" s="296"/>
      <c r="AP38" s="296"/>
      <c r="AQ38" s="296"/>
      <c r="AR38" s="31"/>
      <c r="AS38" s="131"/>
      <c r="AT38" s="167"/>
      <c r="AU38" s="167"/>
      <c r="AV38" s="167"/>
      <c r="AW38" s="131"/>
    </row>
    <row r="39" spans="1:49" ht="21.75" hidden="1" customHeight="1" thickBot="1" x14ac:dyDescent="0.3">
      <c r="A39" s="354"/>
      <c r="B39" s="342" t="s">
        <v>271</v>
      </c>
      <c r="C39" s="342"/>
      <c r="D39" s="343">
        <f>SUM(E38+D38+D19+G19+J19+J38+N38+R38+M19+P19+S19+V19+Y19+AB19+AE19-AN19+AO19-AU19+AV19-AM19)</f>
        <v>0</v>
      </c>
      <c r="E39" s="344"/>
      <c r="F39" s="345"/>
      <c r="G39" s="177"/>
      <c r="H39" s="243"/>
      <c r="I39" s="243"/>
      <c r="J39" s="240"/>
      <c r="K39" s="240"/>
      <c r="L39" s="240"/>
      <c r="M39" s="241"/>
      <c r="N39" s="241"/>
      <c r="O39" s="177"/>
      <c r="P39" s="177"/>
      <c r="Q39" s="177"/>
      <c r="R39" s="177"/>
      <c r="S39" s="177"/>
      <c r="T39" s="289"/>
      <c r="U39" s="287">
        <f>SUM(V38+U38)</f>
        <v>0</v>
      </c>
      <c r="V39" s="288"/>
      <c r="W39" s="31"/>
      <c r="X39" s="167"/>
      <c r="Y39" s="31"/>
      <c r="Z39" s="31"/>
      <c r="AA39" s="167"/>
      <c r="AB39" s="31"/>
      <c r="AC39" s="31"/>
      <c r="AD39" s="167"/>
      <c r="AE39" s="167"/>
      <c r="AF39" s="167"/>
      <c r="AG39" s="167"/>
      <c r="AH39" s="31"/>
      <c r="AI39" s="167"/>
      <c r="AJ39" s="31"/>
      <c r="AK39" s="131"/>
      <c r="AL39" s="131"/>
      <c r="AM39" s="131"/>
      <c r="AN39" s="131"/>
      <c r="AO39" s="296"/>
      <c r="AP39" s="296"/>
      <c r="AQ39" s="296"/>
      <c r="AR39" s="31"/>
      <c r="AS39" s="131"/>
      <c r="AT39" s="167"/>
      <c r="AU39" s="167"/>
      <c r="AV39" s="167"/>
      <c r="AW39" s="131"/>
    </row>
    <row r="40" spans="1:49" ht="21.75" hidden="1" customHeight="1" thickBot="1" x14ac:dyDescent="0.3">
      <c r="A40" s="354"/>
      <c r="B40" s="346" t="s">
        <v>206</v>
      </c>
      <c r="C40" s="346"/>
      <c r="D40" s="347">
        <f>SUM(C38+C18+F18+I18+L18+O18+R18+M38)</f>
        <v>0</v>
      </c>
      <c r="E40" s="348"/>
      <c r="F40" s="349"/>
      <c r="G40" s="177"/>
      <c r="H40" s="280" t="s">
        <v>236</v>
      </c>
      <c r="I40" s="281">
        <f>SUM(AP19+I38+Q38)</f>
        <v>0</v>
      </c>
      <c r="J40" s="242"/>
      <c r="K40" s="282" t="s">
        <v>27</v>
      </c>
      <c r="L40" s="283">
        <f>SUM(AR19+K38)</f>
        <v>0</v>
      </c>
      <c r="M40" s="241"/>
      <c r="N40" s="284" t="s">
        <v>237</v>
      </c>
      <c r="O40" s="285">
        <f>SUM(F19+C38+M38+C19)</f>
        <v>0</v>
      </c>
      <c r="P40" s="177"/>
      <c r="Q40" s="286"/>
      <c r="R40" s="177"/>
      <c r="S40" s="177"/>
      <c r="T40" s="177"/>
      <c r="U40" s="177"/>
      <c r="V40" s="177"/>
      <c r="W40" s="31"/>
      <c r="X40" s="167"/>
      <c r="Y40" s="31"/>
      <c r="Z40" s="31"/>
      <c r="AA40" s="167"/>
      <c r="AB40" s="31"/>
      <c r="AC40" s="31"/>
      <c r="AD40" s="167"/>
      <c r="AE40" s="167"/>
      <c r="AF40" s="167"/>
      <c r="AG40" s="167"/>
      <c r="AH40" s="31"/>
      <c r="AI40" s="167"/>
      <c r="AJ40" s="31"/>
      <c r="AK40" s="131"/>
      <c r="AL40" s="131"/>
      <c r="AM40" s="131"/>
      <c r="AN40" s="131"/>
      <c r="AO40" s="296"/>
      <c r="AP40" s="296"/>
      <c r="AQ40" s="296"/>
      <c r="AR40" s="31"/>
      <c r="AS40" s="131"/>
      <c r="AT40" s="167"/>
      <c r="AU40" s="167"/>
      <c r="AV40" s="167"/>
      <c r="AW40" s="131"/>
    </row>
    <row r="41" spans="1:49" ht="21.75" hidden="1" customHeight="1" thickBot="1" x14ac:dyDescent="0.3">
      <c r="A41" s="354"/>
      <c r="B41" s="346" t="s">
        <v>207</v>
      </c>
      <c r="C41" s="346"/>
      <c r="D41" s="350">
        <f>SUM(E38+E18+H18+K18+Q18+N18+T18+W18+Z18+AC18+AF18+AV18)</f>
        <v>0</v>
      </c>
      <c r="E41" s="351"/>
      <c r="F41" s="352"/>
      <c r="G41" s="177"/>
      <c r="H41" s="243"/>
      <c r="I41" s="243"/>
      <c r="J41" s="241"/>
      <c r="K41" s="241"/>
      <c r="L41" s="241"/>
      <c r="M41" s="241"/>
      <c r="N41" s="241"/>
      <c r="O41" s="177"/>
      <c r="P41" s="177"/>
      <c r="Q41" s="177"/>
      <c r="R41" s="177"/>
      <c r="S41" s="177"/>
      <c r="T41" s="177"/>
      <c r="U41" s="177"/>
      <c r="V41" s="177"/>
      <c r="W41" s="31"/>
      <c r="X41" s="167"/>
      <c r="Y41" s="31"/>
      <c r="Z41" s="31"/>
      <c r="AA41" s="167"/>
      <c r="AB41" s="31"/>
      <c r="AC41" s="31"/>
      <c r="AD41" s="167"/>
      <c r="AE41" s="167"/>
      <c r="AF41" s="167"/>
      <c r="AG41" s="167"/>
      <c r="AH41" s="31"/>
      <c r="AI41" s="167"/>
      <c r="AJ41" s="31"/>
      <c r="AK41" s="131"/>
      <c r="AL41" s="131"/>
      <c r="AM41" s="131"/>
      <c r="AN41" s="131"/>
      <c r="AO41" s="296"/>
      <c r="AP41" s="296"/>
      <c r="AQ41" s="296"/>
      <c r="AR41" s="31"/>
      <c r="AS41" s="131"/>
      <c r="AT41" s="167"/>
      <c r="AU41" s="167"/>
      <c r="AV41" s="167"/>
      <c r="AW41" s="131"/>
    </row>
    <row r="42" spans="1:49" ht="16.5" thickBot="1" x14ac:dyDescent="0.3">
      <c r="A42" s="328"/>
      <c r="B42" s="200"/>
      <c r="C42" s="322"/>
      <c r="D42" s="323"/>
      <c r="E42" s="329"/>
      <c r="F42" s="322"/>
      <c r="G42" s="323"/>
      <c r="H42" s="329"/>
      <c r="I42" s="322"/>
      <c r="J42" s="323"/>
      <c r="K42" s="323"/>
      <c r="L42" s="305"/>
      <c r="M42" s="305"/>
      <c r="N42" s="309"/>
      <c r="O42" s="308"/>
      <c r="P42" s="305"/>
      <c r="Q42" s="309"/>
      <c r="R42" s="319"/>
      <c r="S42" s="320"/>
      <c r="T42" s="321"/>
      <c r="U42" s="308"/>
      <c r="V42" s="305"/>
      <c r="W42" s="309"/>
      <c r="X42" s="308"/>
      <c r="Y42" s="305"/>
      <c r="Z42" s="309"/>
      <c r="AA42" s="308"/>
      <c r="AB42" s="305"/>
      <c r="AC42" s="309"/>
      <c r="AD42" s="308"/>
      <c r="AE42" s="305"/>
      <c r="AF42" s="309"/>
      <c r="AG42" s="308"/>
      <c r="AH42" s="305"/>
      <c r="AI42" s="305"/>
      <c r="AJ42" s="305"/>
      <c r="AK42" s="330"/>
      <c r="AL42" s="330"/>
      <c r="AM42" s="330"/>
      <c r="AN42" s="330"/>
      <c r="AO42" s="322"/>
      <c r="AP42" s="323"/>
      <c r="AQ42" s="323"/>
      <c r="AR42" s="323"/>
      <c r="AS42" s="330"/>
      <c r="AT42" s="308"/>
      <c r="AU42" s="305"/>
      <c r="AV42" s="309"/>
      <c r="AW42" s="311"/>
    </row>
    <row r="43" spans="1:49" ht="20.25" customHeight="1" thickTop="1" thickBot="1" x14ac:dyDescent="0.3">
      <c r="A43" s="403">
        <v>2025</v>
      </c>
      <c r="B43" s="197" t="s">
        <v>267</v>
      </c>
      <c r="C43" s="382" t="s">
        <v>233</v>
      </c>
      <c r="D43" s="383"/>
      <c r="E43" s="384"/>
      <c r="F43" s="382" t="s">
        <v>235</v>
      </c>
      <c r="G43" s="383"/>
      <c r="H43" s="384"/>
      <c r="I43" s="382" t="s">
        <v>125</v>
      </c>
      <c r="J43" s="383"/>
      <c r="K43" s="385"/>
      <c r="L43" s="386" t="s">
        <v>129</v>
      </c>
      <c r="M43" s="364"/>
      <c r="N43" s="365"/>
      <c r="O43" s="363" t="s">
        <v>134</v>
      </c>
      <c r="P43" s="364"/>
      <c r="Q43" s="365"/>
      <c r="R43" s="387" t="s">
        <v>154</v>
      </c>
      <c r="S43" s="388"/>
      <c r="T43" s="389"/>
      <c r="U43" s="363" t="s">
        <v>158</v>
      </c>
      <c r="V43" s="364"/>
      <c r="W43" s="365"/>
      <c r="X43" s="363" t="s">
        <v>159</v>
      </c>
      <c r="Y43" s="364"/>
      <c r="Z43" s="365"/>
      <c r="AA43" s="363" t="s">
        <v>138</v>
      </c>
      <c r="AB43" s="364"/>
      <c r="AC43" s="365"/>
      <c r="AD43" s="363" t="s">
        <v>130</v>
      </c>
      <c r="AE43" s="364"/>
      <c r="AF43" s="365"/>
      <c r="AG43" s="363" t="s">
        <v>152</v>
      </c>
      <c r="AH43" s="375"/>
      <c r="AI43" s="376" t="s">
        <v>167</v>
      </c>
      <c r="AJ43" s="375"/>
      <c r="AK43" s="4"/>
      <c r="AL43" s="141"/>
      <c r="AM43" s="4"/>
      <c r="AN43" s="4"/>
      <c r="AO43" s="377" t="s">
        <v>99</v>
      </c>
      <c r="AP43" s="378"/>
      <c r="AQ43" s="378"/>
      <c r="AR43" s="379"/>
      <c r="AS43" s="4"/>
      <c r="AT43" s="363" t="s">
        <v>145</v>
      </c>
      <c r="AU43" s="364"/>
      <c r="AV43" s="365"/>
      <c r="AW43" s="141"/>
    </row>
    <row r="44" spans="1:49" ht="60" x14ac:dyDescent="0.25">
      <c r="A44" s="404"/>
      <c r="B44" s="198" t="s">
        <v>0</v>
      </c>
      <c r="C44" s="110" t="s">
        <v>119</v>
      </c>
      <c r="D44" s="20" t="s">
        <v>120</v>
      </c>
      <c r="E44" s="14" t="s">
        <v>121</v>
      </c>
      <c r="F44" s="86" t="s">
        <v>119</v>
      </c>
      <c r="G44" s="20" t="s">
        <v>120</v>
      </c>
      <c r="H44" s="14" t="s">
        <v>121</v>
      </c>
      <c r="I44" s="86" t="s">
        <v>23</v>
      </c>
      <c r="J44" s="20" t="s">
        <v>122</v>
      </c>
      <c r="K44" s="111" t="s">
        <v>123</v>
      </c>
      <c r="L44" s="184" t="s">
        <v>131</v>
      </c>
      <c r="M44" s="20" t="s">
        <v>132</v>
      </c>
      <c r="N44" s="14" t="s">
        <v>133</v>
      </c>
      <c r="O44" s="86" t="s">
        <v>135</v>
      </c>
      <c r="P44" s="20" t="s">
        <v>136</v>
      </c>
      <c r="Q44" s="14" t="s">
        <v>137</v>
      </c>
      <c r="R44" s="86" t="s">
        <v>155</v>
      </c>
      <c r="S44" s="20" t="s">
        <v>156</v>
      </c>
      <c r="T44" s="14" t="s">
        <v>157</v>
      </c>
      <c r="U44" s="86" t="s">
        <v>160</v>
      </c>
      <c r="V44" s="20" t="s">
        <v>161</v>
      </c>
      <c r="W44" s="14" t="s">
        <v>162</v>
      </c>
      <c r="X44" s="86" t="s">
        <v>163</v>
      </c>
      <c r="Y44" s="20" t="s">
        <v>164</v>
      </c>
      <c r="Z44" s="14" t="s">
        <v>165</v>
      </c>
      <c r="AA44" s="86" t="s">
        <v>139</v>
      </c>
      <c r="AB44" s="20" t="s">
        <v>140</v>
      </c>
      <c r="AC44" s="14" t="s">
        <v>141</v>
      </c>
      <c r="AD44" s="86" t="s">
        <v>126</v>
      </c>
      <c r="AE44" s="20" t="s">
        <v>127</v>
      </c>
      <c r="AF44" s="14" t="s">
        <v>128</v>
      </c>
      <c r="AG44" s="86" t="s">
        <v>172</v>
      </c>
      <c r="AH44" s="20" t="s">
        <v>171</v>
      </c>
      <c r="AI44" s="20" t="s">
        <v>169</v>
      </c>
      <c r="AJ44" s="20" t="s">
        <v>170</v>
      </c>
      <c r="AK44" s="14" t="s">
        <v>173</v>
      </c>
      <c r="AL44" s="338" t="s">
        <v>97</v>
      </c>
      <c r="AM44" s="14" t="s">
        <v>101</v>
      </c>
      <c r="AN44" s="14" t="s">
        <v>66</v>
      </c>
      <c r="AO44" s="86" t="s">
        <v>202</v>
      </c>
      <c r="AP44" s="14" t="s">
        <v>90</v>
      </c>
      <c r="AQ44" s="14" t="s">
        <v>91</v>
      </c>
      <c r="AR44" s="14" t="s">
        <v>27</v>
      </c>
      <c r="AS44" s="14" t="s">
        <v>269</v>
      </c>
      <c r="AT44" s="86" t="s">
        <v>146</v>
      </c>
      <c r="AU44" s="22" t="s">
        <v>148</v>
      </c>
      <c r="AV44" s="183" t="s">
        <v>147</v>
      </c>
      <c r="AW44" s="135" t="s">
        <v>94</v>
      </c>
    </row>
    <row r="45" spans="1:49" ht="15.75" thickBot="1" x14ac:dyDescent="0.3">
      <c r="A45" s="404"/>
      <c r="B45" s="199"/>
      <c r="C45" s="112" t="s">
        <v>151</v>
      </c>
      <c r="D45" s="18" t="s">
        <v>151</v>
      </c>
      <c r="E45" s="87" t="s">
        <v>1</v>
      </c>
      <c r="F45" s="90" t="s">
        <v>151</v>
      </c>
      <c r="G45" s="18" t="s">
        <v>151</v>
      </c>
      <c r="H45" s="87" t="s">
        <v>1</v>
      </c>
      <c r="I45" s="90" t="s">
        <v>151</v>
      </c>
      <c r="J45" s="18" t="s">
        <v>151</v>
      </c>
      <c r="K45" s="113" t="s">
        <v>1</v>
      </c>
      <c r="L45" s="85" t="s">
        <v>151</v>
      </c>
      <c r="M45" s="18" t="s">
        <v>151</v>
      </c>
      <c r="N45" s="87" t="s">
        <v>1</v>
      </c>
      <c r="O45" s="90" t="s">
        <v>151</v>
      </c>
      <c r="P45" s="18" t="s">
        <v>151</v>
      </c>
      <c r="Q45" s="87" t="s">
        <v>1</v>
      </c>
      <c r="R45" s="90" t="s">
        <v>151</v>
      </c>
      <c r="S45" s="18" t="s">
        <v>151</v>
      </c>
      <c r="T45" s="87" t="s">
        <v>1</v>
      </c>
      <c r="U45" s="90" t="s">
        <v>151</v>
      </c>
      <c r="V45" s="18" t="s">
        <v>151</v>
      </c>
      <c r="W45" s="87" t="s">
        <v>1</v>
      </c>
      <c r="X45" s="90" t="s">
        <v>151</v>
      </c>
      <c r="Y45" s="18" t="s">
        <v>151</v>
      </c>
      <c r="Z45" s="87" t="s">
        <v>1</v>
      </c>
      <c r="AA45" s="90" t="s">
        <v>151</v>
      </c>
      <c r="AB45" s="18" t="s">
        <v>151</v>
      </c>
      <c r="AC45" s="87" t="s">
        <v>1</v>
      </c>
      <c r="AD45" s="90" t="s">
        <v>151</v>
      </c>
      <c r="AE45" s="18" t="s">
        <v>151</v>
      </c>
      <c r="AF45" s="87" t="s">
        <v>151</v>
      </c>
      <c r="AG45" s="90" t="s">
        <v>17</v>
      </c>
      <c r="AH45" s="18" t="s">
        <v>18</v>
      </c>
      <c r="AI45" s="85" t="s">
        <v>168</v>
      </c>
      <c r="AJ45" s="18" t="s">
        <v>151</v>
      </c>
      <c r="AK45" s="87" t="s">
        <v>18</v>
      </c>
      <c r="AL45" s="90" t="s">
        <v>98</v>
      </c>
      <c r="AM45" s="18" t="s">
        <v>98</v>
      </c>
      <c r="AN45" s="87" t="s">
        <v>98</v>
      </c>
      <c r="AO45" s="90" t="s">
        <v>150</v>
      </c>
      <c r="AP45" s="18" t="s">
        <v>17</v>
      </c>
      <c r="AQ45" s="18" t="s">
        <v>17</v>
      </c>
      <c r="AR45" s="18" t="s">
        <v>17</v>
      </c>
      <c r="AS45" s="87" t="s">
        <v>17</v>
      </c>
      <c r="AT45" s="90" t="s">
        <v>149</v>
      </c>
      <c r="AU45" s="90" t="s">
        <v>149</v>
      </c>
      <c r="AV45" s="134" t="s">
        <v>1</v>
      </c>
      <c r="AW45" s="142" t="s">
        <v>93</v>
      </c>
    </row>
    <row r="46" spans="1:49" ht="20.100000000000001" customHeight="1" x14ac:dyDescent="0.25">
      <c r="A46" s="404"/>
      <c r="B46" s="210" t="s">
        <v>3</v>
      </c>
      <c r="C46" s="114"/>
      <c r="D46" s="3"/>
      <c r="E46" s="21"/>
      <c r="F46" s="1">
        <v>13.4</v>
      </c>
      <c r="G46" s="3">
        <v>29844.61</v>
      </c>
      <c r="H46" s="21">
        <v>23927.02</v>
      </c>
      <c r="I46" s="299">
        <v>2.69</v>
      </c>
      <c r="J46" s="3">
        <v>6910.61</v>
      </c>
      <c r="K46" s="115">
        <v>6026.52</v>
      </c>
      <c r="L46" s="107">
        <v>2.4</v>
      </c>
      <c r="M46" s="3">
        <v>3281.52</v>
      </c>
      <c r="N46" s="21">
        <v>8342.82</v>
      </c>
      <c r="O46" s="101"/>
      <c r="P46" s="3"/>
      <c r="Q46" s="21"/>
      <c r="R46" s="101"/>
      <c r="S46" s="3"/>
      <c r="T46" s="21"/>
      <c r="U46" s="101"/>
      <c r="V46" s="3"/>
      <c r="W46" s="21"/>
      <c r="X46" s="101"/>
      <c r="Y46" s="3"/>
      <c r="Z46" s="21"/>
      <c r="AA46" s="101"/>
      <c r="AB46" s="3"/>
      <c r="AC46" s="21"/>
      <c r="AD46" s="98"/>
      <c r="AE46" s="3"/>
      <c r="AF46" s="21"/>
      <c r="AG46" s="98"/>
      <c r="AH46" s="3"/>
      <c r="AI46" s="93"/>
      <c r="AJ46" s="3"/>
      <c r="AK46" s="21"/>
      <c r="AL46" s="339"/>
      <c r="AM46" s="21"/>
      <c r="AN46" s="21"/>
      <c r="AO46" s="333">
        <v>70095.759999999995</v>
      </c>
      <c r="AP46" s="72">
        <v>2.2454000000000001</v>
      </c>
      <c r="AQ46" s="72">
        <v>3.6417999999999999</v>
      </c>
      <c r="AR46" s="72">
        <v>3.8681000000000001</v>
      </c>
      <c r="AS46" s="72"/>
      <c r="AT46" s="98"/>
      <c r="AU46" s="3"/>
      <c r="AV46" s="137"/>
      <c r="AW46" s="143">
        <v>1983</v>
      </c>
    </row>
    <row r="47" spans="1:49" ht="20.100000000000001" customHeight="1" x14ac:dyDescent="0.25">
      <c r="A47" s="404"/>
      <c r="B47" s="211" t="s">
        <v>4</v>
      </c>
      <c r="C47" s="116"/>
      <c r="D47" s="7"/>
      <c r="E47" s="9"/>
      <c r="F47" s="5">
        <v>14.66</v>
      </c>
      <c r="G47" s="7">
        <v>32650.89</v>
      </c>
      <c r="H47" s="9">
        <v>24250.57</v>
      </c>
      <c r="I47" s="5">
        <v>2.2000000000000002</v>
      </c>
      <c r="J47" s="7">
        <v>5653.2</v>
      </c>
      <c r="K47" s="117">
        <v>5702.97</v>
      </c>
      <c r="L47" s="108">
        <v>4.5</v>
      </c>
      <c r="M47" s="7">
        <v>6152.85</v>
      </c>
      <c r="N47" s="9">
        <v>17576.939999999999</v>
      </c>
      <c r="O47" s="102"/>
      <c r="P47" s="7"/>
      <c r="Q47" s="9"/>
      <c r="R47" s="102"/>
      <c r="S47" s="7"/>
      <c r="T47" s="9"/>
      <c r="U47" s="102"/>
      <c r="V47" s="7"/>
      <c r="W47" s="9"/>
      <c r="X47" s="102"/>
      <c r="Y47" s="7"/>
      <c r="Z47" s="9"/>
      <c r="AA47" s="102"/>
      <c r="AB47" s="7"/>
      <c r="AC47" s="9"/>
      <c r="AD47" s="99"/>
      <c r="AE47" s="7"/>
      <c r="AF47" s="9"/>
      <c r="AG47" s="99"/>
      <c r="AH47" s="7"/>
      <c r="AI47" s="94"/>
      <c r="AJ47" s="7"/>
      <c r="AK47" s="9"/>
      <c r="AL47" s="340"/>
      <c r="AM47" s="9"/>
      <c r="AN47" s="9"/>
      <c r="AO47" s="334">
        <v>48889.52</v>
      </c>
      <c r="AP47" s="72">
        <v>1.3615999999999999</v>
      </c>
      <c r="AQ47" s="72">
        <v>2.4</v>
      </c>
      <c r="AR47" s="72">
        <v>4.6650999999999998</v>
      </c>
      <c r="AS47" s="72"/>
      <c r="AT47" s="99">
        <v>1.72</v>
      </c>
      <c r="AU47" s="7">
        <v>7568</v>
      </c>
      <c r="AV47" s="138">
        <v>3873.57</v>
      </c>
      <c r="AW47" s="143"/>
    </row>
    <row r="48" spans="1:49" ht="20.100000000000001" customHeight="1" x14ac:dyDescent="0.25">
      <c r="A48" s="404"/>
      <c r="B48" s="211" t="s">
        <v>5</v>
      </c>
      <c r="C48" s="118"/>
      <c r="D48" s="7"/>
      <c r="E48" s="9"/>
      <c r="F48" s="96">
        <v>23.75</v>
      </c>
      <c r="G48" s="7">
        <v>52896.24</v>
      </c>
      <c r="H48" s="9">
        <v>40995.279999999999</v>
      </c>
      <c r="I48" s="96">
        <v>6.25</v>
      </c>
      <c r="J48" s="105">
        <v>16060.25</v>
      </c>
      <c r="K48" s="117">
        <v>12593.31</v>
      </c>
      <c r="L48" s="108">
        <v>16.829999999999998</v>
      </c>
      <c r="M48" s="7">
        <v>23011.66</v>
      </c>
      <c r="N48" s="9">
        <v>51186.14</v>
      </c>
      <c r="O48" s="102">
        <v>2.2000000000000002</v>
      </c>
      <c r="P48" s="7">
        <v>1735.62</v>
      </c>
      <c r="Q48" s="9">
        <v>5451.65</v>
      </c>
      <c r="R48" s="102"/>
      <c r="S48" s="7"/>
      <c r="T48" s="9"/>
      <c r="U48" s="102"/>
      <c r="V48" s="7"/>
      <c r="W48" s="9"/>
      <c r="X48" s="102"/>
      <c r="Y48" s="7"/>
      <c r="Z48" s="9"/>
      <c r="AA48" s="102"/>
      <c r="AB48" s="7"/>
      <c r="AC48" s="9"/>
      <c r="AD48" s="99"/>
      <c r="AE48" s="7"/>
      <c r="AF48" s="9"/>
      <c r="AG48" s="99"/>
      <c r="AH48" s="7"/>
      <c r="AI48" s="94"/>
      <c r="AJ48" s="7"/>
      <c r="AK48" s="9"/>
      <c r="AL48" s="340"/>
      <c r="AM48" s="9">
        <v>9263</v>
      </c>
      <c r="AN48" s="9"/>
      <c r="AO48" s="334">
        <v>55780.53</v>
      </c>
      <c r="AP48" s="72">
        <v>1.5649999999999999</v>
      </c>
      <c r="AQ48" s="72">
        <v>1.7569999999999999</v>
      </c>
      <c r="AR48" s="72">
        <v>6.4763000000000002</v>
      </c>
      <c r="AS48" s="72"/>
      <c r="AT48" s="99"/>
      <c r="AU48" s="7"/>
      <c r="AV48" s="138"/>
      <c r="AW48" s="143"/>
    </row>
    <row r="49" spans="1:49" ht="20.100000000000001" customHeight="1" x14ac:dyDescent="0.25">
      <c r="A49" s="404"/>
      <c r="B49" s="211" t="s">
        <v>6</v>
      </c>
      <c r="C49" s="118"/>
      <c r="D49" s="7"/>
      <c r="E49" s="9"/>
      <c r="F49" s="96">
        <v>22.22</v>
      </c>
      <c r="G49" s="7">
        <v>49488.61</v>
      </c>
      <c r="H49" s="9">
        <v>36303.629999999997</v>
      </c>
      <c r="I49" s="96">
        <v>25.96</v>
      </c>
      <c r="J49" s="105">
        <v>66707.850000000006</v>
      </c>
      <c r="K49" s="117">
        <v>42736.71</v>
      </c>
      <c r="L49" s="108">
        <v>17.91</v>
      </c>
      <c r="M49" s="7">
        <v>24488.34</v>
      </c>
      <c r="N49" s="9">
        <v>44058.64</v>
      </c>
      <c r="O49" s="102">
        <v>3.2</v>
      </c>
      <c r="P49" s="7">
        <v>2524.54</v>
      </c>
      <c r="Q49" s="9">
        <v>11405.94</v>
      </c>
      <c r="R49" s="102"/>
      <c r="S49" s="7"/>
      <c r="T49" s="9"/>
      <c r="U49" s="102"/>
      <c r="V49" s="7"/>
      <c r="W49" s="9"/>
      <c r="X49" s="102"/>
      <c r="Y49" s="7"/>
      <c r="Z49" s="9"/>
      <c r="AA49" s="102"/>
      <c r="AB49" s="7"/>
      <c r="AC49" s="9"/>
      <c r="AD49" s="99"/>
      <c r="AE49" s="7"/>
      <c r="AF49" s="9"/>
      <c r="AG49" s="99"/>
      <c r="AH49" s="7"/>
      <c r="AI49" s="94"/>
      <c r="AJ49" s="7"/>
      <c r="AK49" s="9"/>
      <c r="AL49" s="340"/>
      <c r="AM49" s="9"/>
      <c r="AN49" s="9">
        <v>148987</v>
      </c>
      <c r="AO49" s="334">
        <v>41102.82</v>
      </c>
      <c r="AP49" s="72">
        <v>1.3204</v>
      </c>
      <c r="AQ49" s="72">
        <v>2.34</v>
      </c>
      <c r="AR49" s="72"/>
      <c r="AS49" s="72"/>
      <c r="AT49" s="99">
        <v>2</v>
      </c>
      <c r="AU49" s="7">
        <v>9800</v>
      </c>
      <c r="AV49" s="138">
        <v>4124.8900000000003</v>
      </c>
      <c r="AW49" s="143">
        <v>3439</v>
      </c>
    </row>
    <row r="50" spans="1:49" ht="20.100000000000001" customHeight="1" x14ac:dyDescent="0.25">
      <c r="A50" s="404"/>
      <c r="B50" s="211" t="s">
        <v>7</v>
      </c>
      <c r="C50" s="119"/>
      <c r="D50" s="7"/>
      <c r="E50" s="9"/>
      <c r="F50" s="91">
        <v>2.68</v>
      </c>
      <c r="G50" s="7">
        <v>5968.92</v>
      </c>
      <c r="H50" s="9">
        <v>6601.39</v>
      </c>
      <c r="I50" s="96">
        <v>37.909999999999997</v>
      </c>
      <c r="J50" s="105">
        <v>97415.05</v>
      </c>
      <c r="K50" s="117">
        <v>65216.7</v>
      </c>
      <c r="L50" s="108">
        <v>21.2</v>
      </c>
      <c r="M50" s="7">
        <v>22358.38</v>
      </c>
      <c r="N50" s="9">
        <v>47144.5</v>
      </c>
      <c r="O50" s="102">
        <v>3.8</v>
      </c>
      <c r="P50" s="7">
        <v>2997.9</v>
      </c>
      <c r="Q50" s="9">
        <v>10507.51</v>
      </c>
      <c r="R50" s="102"/>
      <c r="S50" s="7"/>
      <c r="T50" s="9"/>
      <c r="U50" s="102"/>
      <c r="V50" s="7"/>
      <c r="W50" s="9"/>
      <c r="X50" s="102"/>
      <c r="Y50" s="7"/>
      <c r="Z50" s="9"/>
      <c r="AA50" s="102">
        <v>1.9</v>
      </c>
      <c r="AB50" s="7"/>
      <c r="AC50" s="9">
        <v>5055.8599999999997</v>
      </c>
      <c r="AD50" s="99"/>
      <c r="AE50" s="7"/>
      <c r="AF50" s="9"/>
      <c r="AG50" s="99"/>
      <c r="AH50" s="7"/>
      <c r="AI50" s="94"/>
      <c r="AJ50" s="7"/>
      <c r="AK50" s="9"/>
      <c r="AL50" s="340"/>
      <c r="AM50" s="9"/>
      <c r="AN50" s="9"/>
      <c r="AO50" s="334">
        <v>49972.1</v>
      </c>
      <c r="AP50" s="72">
        <v>1.6684000000000001</v>
      </c>
      <c r="AQ50" s="72">
        <v>2.6</v>
      </c>
      <c r="AR50" s="72">
        <v>3.8060999999999998</v>
      </c>
      <c r="AS50" s="72"/>
      <c r="AT50" s="99">
        <v>1.88</v>
      </c>
      <c r="AU50" s="7">
        <v>8272</v>
      </c>
      <c r="AV50" s="138">
        <v>3801.33</v>
      </c>
      <c r="AW50" s="143">
        <v>3055</v>
      </c>
    </row>
    <row r="51" spans="1:49" ht="20.100000000000001" customHeight="1" x14ac:dyDescent="0.25">
      <c r="A51" s="404"/>
      <c r="B51" s="211" t="s">
        <v>8</v>
      </c>
      <c r="C51" s="119"/>
      <c r="D51" s="7"/>
      <c r="E51" s="9"/>
      <c r="F51" s="91">
        <v>18.61</v>
      </c>
      <c r="G51" s="7">
        <v>41448.379999999997</v>
      </c>
      <c r="H51" s="9">
        <v>26232.35</v>
      </c>
      <c r="I51" s="96">
        <v>33.46</v>
      </c>
      <c r="J51" s="105">
        <v>85980.15</v>
      </c>
      <c r="K51" s="117">
        <v>47118.85</v>
      </c>
      <c r="L51" s="108">
        <v>21.4</v>
      </c>
      <c r="M51" s="7">
        <v>23138.01</v>
      </c>
      <c r="N51" s="9">
        <v>51847.16</v>
      </c>
      <c r="O51" s="102">
        <v>1.43</v>
      </c>
      <c r="P51" s="7">
        <v>1128.1600000000001</v>
      </c>
      <c r="Q51" s="9">
        <v>6329.68</v>
      </c>
      <c r="R51" s="102"/>
      <c r="S51" s="7"/>
      <c r="T51" s="9"/>
      <c r="U51" s="102"/>
      <c r="V51" s="7"/>
      <c r="W51" s="9"/>
      <c r="X51" s="102"/>
      <c r="Y51" s="7"/>
      <c r="Z51" s="9"/>
      <c r="AA51" s="102"/>
      <c r="AB51" s="7"/>
      <c r="AC51" s="9"/>
      <c r="AD51" s="99">
        <v>1.639</v>
      </c>
      <c r="AE51" s="7">
        <v>29683.119999999999</v>
      </c>
      <c r="AF51" s="9">
        <v>3358.96</v>
      </c>
      <c r="AG51" s="99"/>
      <c r="AH51" s="7"/>
      <c r="AI51" s="94"/>
      <c r="AJ51" s="7"/>
      <c r="AK51" s="9"/>
      <c r="AL51" s="340">
        <v>1192.5</v>
      </c>
      <c r="AM51" s="9">
        <v>6491</v>
      </c>
      <c r="AN51" s="9"/>
      <c r="AO51" s="334">
        <v>77828.160000000003</v>
      </c>
      <c r="AP51" s="72">
        <v>2.0914000000000001</v>
      </c>
      <c r="AQ51" s="72">
        <v>3.524</v>
      </c>
      <c r="AR51" s="72">
        <v>3.0872999999999999</v>
      </c>
      <c r="AS51" s="72"/>
      <c r="AT51" s="99"/>
      <c r="AU51" s="7"/>
      <c r="AV51" s="138"/>
      <c r="AW51" s="143"/>
    </row>
    <row r="52" spans="1:49" ht="20.100000000000001" customHeight="1" x14ac:dyDescent="0.25">
      <c r="A52" s="404"/>
      <c r="B52" s="211" t="s">
        <v>9</v>
      </c>
      <c r="C52" s="119"/>
      <c r="D52" s="7"/>
      <c r="E52" s="9"/>
      <c r="F52" s="91">
        <v>7.22</v>
      </c>
      <c r="G52" s="7">
        <v>16080.46</v>
      </c>
      <c r="H52" s="9">
        <v>12375.63</v>
      </c>
      <c r="I52" s="96">
        <v>33.64</v>
      </c>
      <c r="J52" s="105">
        <v>86442.69</v>
      </c>
      <c r="K52" s="117">
        <v>67091.23</v>
      </c>
      <c r="L52" s="108">
        <v>19.04</v>
      </c>
      <c r="M52" s="7">
        <v>24378.31</v>
      </c>
      <c r="N52" s="9">
        <v>46841.760000000002</v>
      </c>
      <c r="O52" s="102">
        <v>3.4</v>
      </c>
      <c r="P52" s="7">
        <v>2682.33</v>
      </c>
      <c r="Q52" s="9">
        <v>11384.4</v>
      </c>
      <c r="R52" s="102"/>
      <c r="S52" s="7"/>
      <c r="T52" s="9"/>
      <c r="U52" s="102"/>
      <c r="V52" s="7"/>
      <c r="W52" s="9"/>
      <c r="X52" s="102"/>
      <c r="Y52" s="7"/>
      <c r="Z52" s="9"/>
      <c r="AA52" s="102"/>
      <c r="AB52" s="7"/>
      <c r="AC52" s="9"/>
      <c r="AD52" s="99"/>
      <c r="AE52" s="7"/>
      <c r="AF52" s="9"/>
      <c r="AG52" s="99"/>
      <c r="AH52" s="7"/>
      <c r="AI52" s="94"/>
      <c r="AJ52" s="7"/>
      <c r="AK52" s="9"/>
      <c r="AL52" s="340"/>
      <c r="AM52" s="9"/>
      <c r="AN52" s="9">
        <v>186537.5</v>
      </c>
      <c r="AO52" s="334">
        <v>75134.539999999994</v>
      </c>
      <c r="AP52" s="72">
        <v>1.6315999999999999</v>
      </c>
      <c r="AQ52" s="72">
        <v>3.1800999999999999</v>
      </c>
      <c r="AR52" s="72">
        <v>7.6557000000000004</v>
      </c>
      <c r="AS52" s="72"/>
      <c r="AT52" s="99">
        <v>2</v>
      </c>
      <c r="AU52" s="7">
        <v>8400</v>
      </c>
      <c r="AV52" s="138">
        <v>3801.33</v>
      </c>
      <c r="AW52" s="143"/>
    </row>
    <row r="53" spans="1:49" ht="20.100000000000001" customHeight="1" x14ac:dyDescent="0.25">
      <c r="A53" s="404"/>
      <c r="B53" s="211" t="s">
        <v>10</v>
      </c>
      <c r="C53" s="119"/>
      <c r="D53" s="7"/>
      <c r="E53" s="9"/>
      <c r="F53" s="91">
        <v>13.85</v>
      </c>
      <c r="G53" s="7">
        <v>30846.86</v>
      </c>
      <c r="H53" s="9">
        <v>23782.55</v>
      </c>
      <c r="I53" s="96">
        <v>26.3</v>
      </c>
      <c r="J53" s="105">
        <v>67581.53</v>
      </c>
      <c r="K53" s="117">
        <v>55781.24</v>
      </c>
      <c r="L53" s="108">
        <v>19.63</v>
      </c>
      <c r="M53" s="7">
        <v>22855.040000000001</v>
      </c>
      <c r="N53" s="9">
        <v>47135.79</v>
      </c>
      <c r="O53" s="102">
        <v>2.79</v>
      </c>
      <c r="P53" s="7">
        <v>2201.09</v>
      </c>
      <c r="Q53" s="9">
        <v>9860.41</v>
      </c>
      <c r="R53" s="102"/>
      <c r="S53" s="7"/>
      <c r="T53" s="9"/>
      <c r="U53" s="102"/>
      <c r="V53" s="7"/>
      <c r="W53" s="9"/>
      <c r="X53" s="102"/>
      <c r="Y53" s="7"/>
      <c r="Z53" s="9"/>
      <c r="AA53" s="102"/>
      <c r="AB53" s="7"/>
      <c r="AC53" s="9"/>
      <c r="AD53" s="99"/>
      <c r="AE53" s="7"/>
      <c r="AF53" s="9"/>
      <c r="AG53" s="99"/>
      <c r="AH53" s="7"/>
      <c r="AI53" s="94"/>
      <c r="AJ53" s="7"/>
      <c r="AK53" s="9"/>
      <c r="AL53" s="340"/>
      <c r="AM53" s="9"/>
      <c r="AN53" s="9"/>
      <c r="AO53" s="334">
        <v>67256.08</v>
      </c>
      <c r="AP53" s="72">
        <v>1.4401999999999999</v>
      </c>
      <c r="AQ53" s="72">
        <v>3.2635999999999998</v>
      </c>
      <c r="AR53" s="72">
        <v>5.3574999999999999</v>
      </c>
      <c r="AS53" s="72"/>
      <c r="AT53" s="99">
        <v>1.86</v>
      </c>
      <c r="AU53" s="7">
        <v>7812</v>
      </c>
      <c r="AV53" s="138">
        <v>3801.33</v>
      </c>
      <c r="AW53" s="143"/>
    </row>
    <row r="54" spans="1:49" ht="20.100000000000001" customHeight="1" x14ac:dyDescent="0.25">
      <c r="A54" s="404"/>
      <c r="B54" s="211" t="s">
        <v>11</v>
      </c>
      <c r="C54" s="119"/>
      <c r="D54" s="7"/>
      <c r="E54" s="9"/>
      <c r="F54" s="91">
        <v>20.82</v>
      </c>
      <c r="G54" s="7">
        <v>46370.51</v>
      </c>
      <c r="H54" s="9">
        <v>30328.52</v>
      </c>
      <c r="I54" s="96">
        <v>25.78</v>
      </c>
      <c r="J54" s="105">
        <v>66245.320000000007</v>
      </c>
      <c r="K54" s="117">
        <v>46308.51</v>
      </c>
      <c r="L54" s="108">
        <v>24.58</v>
      </c>
      <c r="M54" s="7">
        <v>29076.83</v>
      </c>
      <c r="N54" s="9">
        <v>52275.5</v>
      </c>
      <c r="O54" s="102">
        <v>7.16</v>
      </c>
      <c r="P54" s="7">
        <v>5648.67</v>
      </c>
      <c r="Q54" s="9">
        <v>15562.77</v>
      </c>
      <c r="R54" s="102"/>
      <c r="S54" s="7"/>
      <c r="T54" s="9"/>
      <c r="U54" s="102"/>
      <c r="V54" s="7"/>
      <c r="W54" s="9"/>
      <c r="X54" s="102"/>
      <c r="Y54" s="7"/>
      <c r="Z54" s="9"/>
      <c r="AA54" s="102"/>
      <c r="AB54" s="7"/>
      <c r="AC54" s="9"/>
      <c r="AD54" s="99"/>
      <c r="AE54" s="7"/>
      <c r="AF54" s="9"/>
      <c r="AG54" s="99"/>
      <c r="AH54" s="7"/>
      <c r="AI54" s="94"/>
      <c r="AJ54" s="7"/>
      <c r="AK54" s="9"/>
      <c r="AL54" s="340"/>
      <c r="AM54" s="9">
        <v>13648.15</v>
      </c>
      <c r="AN54" s="9"/>
      <c r="AO54" s="334">
        <v>65757.7</v>
      </c>
      <c r="AP54" s="72">
        <v>1.5356000000000001</v>
      </c>
      <c r="AQ54" s="72">
        <v>2.2406999999999999</v>
      </c>
      <c r="AR54" s="72">
        <v>3.3839999999999999</v>
      </c>
      <c r="AS54" s="72">
        <v>7.4099999999999999E-2</v>
      </c>
      <c r="AT54" s="99">
        <v>3.22</v>
      </c>
      <c r="AU54" s="7">
        <v>13524</v>
      </c>
      <c r="AV54" s="138">
        <v>7351.35</v>
      </c>
      <c r="AW54" s="143">
        <v>2931</v>
      </c>
    </row>
    <row r="55" spans="1:49" ht="20.100000000000001" customHeight="1" x14ac:dyDescent="0.25">
      <c r="A55" s="404"/>
      <c r="B55" s="211" t="s">
        <v>12</v>
      </c>
      <c r="C55" s="119"/>
      <c r="D55" s="7"/>
      <c r="E55" s="9"/>
      <c r="F55" s="91">
        <v>19.329999999999998</v>
      </c>
      <c r="G55" s="7">
        <v>43051.97</v>
      </c>
      <c r="H55" s="9">
        <v>28732.78</v>
      </c>
      <c r="I55" s="96">
        <v>20.22</v>
      </c>
      <c r="J55" s="105">
        <v>51958.12</v>
      </c>
      <c r="K55" s="117">
        <v>33791.06</v>
      </c>
      <c r="L55" s="108">
        <v>21.69</v>
      </c>
      <c r="M55" s="7">
        <v>24104.97</v>
      </c>
      <c r="N55" s="9">
        <v>51717.33</v>
      </c>
      <c r="O55" s="102">
        <v>2.2200000000000002</v>
      </c>
      <c r="P55" s="7">
        <v>1751.4</v>
      </c>
      <c r="Q55" s="9">
        <v>7351.35</v>
      </c>
      <c r="R55" s="102"/>
      <c r="S55" s="7"/>
      <c r="T55" s="9"/>
      <c r="U55" s="102"/>
      <c r="V55" s="7"/>
      <c r="W55" s="9"/>
      <c r="X55" s="102"/>
      <c r="Y55" s="7"/>
      <c r="Z55" s="9"/>
      <c r="AA55" s="102"/>
      <c r="AB55" s="7"/>
      <c r="AC55" s="9"/>
      <c r="AD55" s="99"/>
      <c r="AE55" s="7"/>
      <c r="AF55" s="9"/>
      <c r="AG55" s="99"/>
      <c r="AH55" s="7"/>
      <c r="AI55" s="94"/>
      <c r="AJ55" s="7"/>
      <c r="AK55" s="9"/>
      <c r="AL55" s="340"/>
      <c r="AM55" s="9"/>
      <c r="AN55" s="9">
        <v>204689.5</v>
      </c>
      <c r="AO55" s="334">
        <v>48140.32</v>
      </c>
      <c r="AP55" s="72">
        <v>1.5745</v>
      </c>
      <c r="AQ55" s="72">
        <v>1.6573</v>
      </c>
      <c r="AR55" s="72">
        <v>3.25</v>
      </c>
      <c r="AS55" s="72">
        <v>5.4800000000000001E-2</v>
      </c>
      <c r="AT55" s="99"/>
      <c r="AU55" s="7"/>
      <c r="AV55" s="138"/>
      <c r="AW55" s="143"/>
    </row>
    <row r="56" spans="1:49" ht="20.100000000000001" customHeight="1" x14ac:dyDescent="0.25">
      <c r="A56" s="404"/>
      <c r="B56" s="211" t="s">
        <v>13</v>
      </c>
      <c r="C56" s="119"/>
      <c r="D56" s="7"/>
      <c r="E56" s="9"/>
      <c r="F56" s="91">
        <v>8.32</v>
      </c>
      <c r="G56" s="7">
        <v>18530.39</v>
      </c>
      <c r="H56" s="9">
        <v>11478.18</v>
      </c>
      <c r="I56" s="96">
        <v>21.13</v>
      </c>
      <c r="J56" s="105">
        <v>54296.49</v>
      </c>
      <c r="K56" s="117">
        <v>40310.660000000003</v>
      </c>
      <c r="L56" s="108">
        <v>14.49</v>
      </c>
      <c r="M56" s="7">
        <v>17827.68</v>
      </c>
      <c r="N56" s="9">
        <v>32773.21</v>
      </c>
      <c r="O56" s="102">
        <v>5.46</v>
      </c>
      <c r="P56" s="7">
        <v>4307.5</v>
      </c>
      <c r="Q56" s="9">
        <v>16888.21</v>
      </c>
      <c r="R56" s="102"/>
      <c r="S56" s="7"/>
      <c r="T56" s="9"/>
      <c r="U56" s="102"/>
      <c r="V56" s="7"/>
      <c r="W56" s="9"/>
      <c r="X56" s="102"/>
      <c r="Y56" s="7"/>
      <c r="Z56" s="9"/>
      <c r="AA56" s="102">
        <v>2</v>
      </c>
      <c r="AB56" s="7"/>
      <c r="AC56" s="9"/>
      <c r="AD56" s="99"/>
      <c r="AE56" s="7"/>
      <c r="AF56" s="9"/>
      <c r="AG56" s="99"/>
      <c r="AH56" s="7"/>
      <c r="AI56" s="94"/>
      <c r="AJ56" s="7"/>
      <c r="AK56" s="9"/>
      <c r="AL56" s="340"/>
      <c r="AM56" s="9"/>
      <c r="AN56" s="301"/>
      <c r="AO56" s="334">
        <v>48921.06</v>
      </c>
      <c r="AP56" s="72">
        <v>1.1223000000000001</v>
      </c>
      <c r="AQ56" s="72">
        <v>2.6395</v>
      </c>
      <c r="AR56" s="72">
        <v>3.4979</v>
      </c>
      <c r="AS56" s="72">
        <v>8.7300000000000003E-2</v>
      </c>
      <c r="AT56" s="99">
        <v>1.48</v>
      </c>
      <c r="AU56" s="7">
        <v>5920</v>
      </c>
      <c r="AV56" s="138">
        <v>3477.78</v>
      </c>
      <c r="AW56" s="143"/>
    </row>
    <row r="57" spans="1:49" ht="20.100000000000001" customHeight="1" thickBot="1" x14ac:dyDescent="0.3">
      <c r="A57" s="404"/>
      <c r="B57" s="212" t="s">
        <v>14</v>
      </c>
      <c r="C57" s="120"/>
      <c r="D57" s="88"/>
      <c r="E57" s="89"/>
      <c r="F57" s="92">
        <v>10.39</v>
      </c>
      <c r="G57" s="88">
        <v>38522.720000000001</v>
      </c>
      <c r="H57" s="89">
        <v>16857.59</v>
      </c>
      <c r="I57" s="97">
        <v>9.0399999999999991</v>
      </c>
      <c r="J57" s="105">
        <v>23229.54</v>
      </c>
      <c r="K57" s="121">
        <v>17504.7</v>
      </c>
      <c r="L57" s="109">
        <v>4.7</v>
      </c>
      <c r="M57" s="88">
        <v>6426.31</v>
      </c>
      <c r="N57" s="89">
        <v>11780.92</v>
      </c>
      <c r="O57" s="103">
        <v>2.1</v>
      </c>
      <c r="P57" s="88">
        <v>1656.73</v>
      </c>
      <c r="Q57" s="89">
        <v>4876.78</v>
      </c>
      <c r="R57" s="103"/>
      <c r="S57" s="88"/>
      <c r="T57" s="89"/>
      <c r="U57" s="103"/>
      <c r="V57" s="88"/>
      <c r="W57" s="89"/>
      <c r="X57" s="103"/>
      <c r="Y57" s="88"/>
      <c r="Z57" s="89"/>
      <c r="AA57" s="103"/>
      <c r="AB57" s="88"/>
      <c r="AC57" s="89"/>
      <c r="AD57" s="100"/>
      <c r="AE57" s="88"/>
      <c r="AF57" s="89"/>
      <c r="AG57" s="100"/>
      <c r="AH57" s="88"/>
      <c r="AI57" s="337"/>
      <c r="AJ57" s="88"/>
      <c r="AK57" s="89"/>
      <c r="AL57" s="341">
        <v>711</v>
      </c>
      <c r="AM57" s="89">
        <v>13091.05</v>
      </c>
      <c r="AN57" s="89"/>
      <c r="AO57" s="335">
        <v>67340.28</v>
      </c>
      <c r="AP57" s="336">
        <v>1.5443</v>
      </c>
      <c r="AQ57" s="336">
        <v>2.9329000000000001</v>
      </c>
      <c r="AR57" s="336">
        <v>4.4596</v>
      </c>
      <c r="AS57" s="336">
        <v>9.7000000000000003E-2</v>
      </c>
      <c r="AT57" s="100">
        <v>1.38</v>
      </c>
      <c r="AU57" s="88">
        <v>5520</v>
      </c>
      <c r="AV57" s="139">
        <v>3550.01</v>
      </c>
      <c r="AW57" s="144"/>
    </row>
    <row r="58" spans="1:49" ht="20.100000000000001" customHeight="1" thickBot="1" x14ac:dyDescent="0.3">
      <c r="A58" s="405"/>
      <c r="B58" s="213" t="s">
        <v>15</v>
      </c>
      <c r="C58" s="331">
        <f t="shared" ref="C58:V58" si="9">SUM(C46:C57)</f>
        <v>0</v>
      </c>
      <c r="D58" s="67">
        <f t="shared" si="9"/>
        <v>0</v>
      </c>
      <c r="E58" s="67">
        <f t="shared" si="9"/>
        <v>0</v>
      </c>
      <c r="F58" s="66">
        <f t="shared" si="9"/>
        <v>175.25</v>
      </c>
      <c r="G58" s="67">
        <f t="shared" si="9"/>
        <v>405700.55999999994</v>
      </c>
      <c r="H58" s="67">
        <f t="shared" si="9"/>
        <v>281865.49000000005</v>
      </c>
      <c r="I58" s="66">
        <f t="shared" si="9"/>
        <v>244.58</v>
      </c>
      <c r="J58" s="67">
        <f t="shared" si="9"/>
        <v>628480.80000000005</v>
      </c>
      <c r="K58" s="332">
        <f t="shared" si="9"/>
        <v>440182.46</v>
      </c>
      <c r="L58" s="158">
        <f t="shared" si="9"/>
        <v>188.37</v>
      </c>
      <c r="M58" s="67">
        <f t="shared" si="9"/>
        <v>227099.9</v>
      </c>
      <c r="N58" s="67">
        <f t="shared" si="9"/>
        <v>462680.70999999996</v>
      </c>
      <c r="O58" s="159">
        <f t="shared" si="9"/>
        <v>33.76</v>
      </c>
      <c r="P58" s="67">
        <f t="shared" si="9"/>
        <v>26633.94</v>
      </c>
      <c r="Q58" s="67">
        <f t="shared" si="9"/>
        <v>99618.700000000012</v>
      </c>
      <c r="R58" s="69">
        <f t="shared" si="9"/>
        <v>0</v>
      </c>
      <c r="S58" s="67">
        <f t="shared" si="9"/>
        <v>0</v>
      </c>
      <c r="T58" s="67">
        <f t="shared" si="9"/>
        <v>0</v>
      </c>
      <c r="U58" s="69">
        <f t="shared" si="9"/>
        <v>0</v>
      </c>
      <c r="V58" s="67">
        <f t="shared" si="9"/>
        <v>0</v>
      </c>
      <c r="W58" s="67">
        <f>SUM(W46:W57)</f>
        <v>0</v>
      </c>
      <c r="X58" s="69">
        <f t="shared" ref="X58:AD58" si="10">SUM(X46:X57)</f>
        <v>0</v>
      </c>
      <c r="Y58" s="67">
        <f t="shared" si="10"/>
        <v>0</v>
      </c>
      <c r="Z58" s="67">
        <f t="shared" si="10"/>
        <v>0</v>
      </c>
      <c r="AA58" s="69">
        <f t="shared" si="10"/>
        <v>3.9</v>
      </c>
      <c r="AB58" s="67">
        <f t="shared" si="10"/>
        <v>0</v>
      </c>
      <c r="AC58" s="67">
        <f t="shared" si="10"/>
        <v>5055.8599999999997</v>
      </c>
      <c r="AD58" s="68">
        <f t="shared" si="10"/>
        <v>1.639</v>
      </c>
      <c r="AE58" s="67">
        <f>SUM(AE46:AE57)</f>
        <v>29683.119999999999</v>
      </c>
      <c r="AF58" s="140">
        <f>SUM(AF46:AF57)</f>
        <v>3358.96</v>
      </c>
      <c r="AG58" s="314">
        <f t="shared" ref="AG58:AK58" si="11">SUM(AG46:AG57)</f>
        <v>0</v>
      </c>
      <c r="AH58" s="67">
        <f t="shared" si="11"/>
        <v>0</v>
      </c>
      <c r="AI58" s="68">
        <f t="shared" si="11"/>
        <v>0</v>
      </c>
      <c r="AJ58" s="67">
        <f t="shared" si="11"/>
        <v>0</v>
      </c>
      <c r="AK58" s="80">
        <f t="shared" si="11"/>
        <v>0</v>
      </c>
      <c r="AL58" s="71"/>
      <c r="AM58" s="71">
        <f t="shared" ref="AM58:AP58" si="12">SUM(AM46:AM57)</f>
        <v>42493.2</v>
      </c>
      <c r="AN58" s="71">
        <f t="shared" si="12"/>
        <v>540214</v>
      </c>
      <c r="AO58" s="313">
        <f t="shared" si="12"/>
        <v>716218.86999999988</v>
      </c>
      <c r="AP58" s="74">
        <f t="shared" si="12"/>
        <v>19.1007</v>
      </c>
      <c r="AQ58" s="74">
        <f>SUM(AQ46:AQ57)</f>
        <v>32.176900000000003</v>
      </c>
      <c r="AR58" s="74">
        <f t="shared" ref="AR58:AU58" si="13">SUM(AR46:AR57)</f>
        <v>49.507600000000004</v>
      </c>
      <c r="AS58" s="74">
        <f t="shared" si="13"/>
        <v>0.31320000000000003</v>
      </c>
      <c r="AT58" s="68">
        <f t="shared" si="13"/>
        <v>15.54</v>
      </c>
      <c r="AU58" s="67">
        <f t="shared" si="13"/>
        <v>66816</v>
      </c>
      <c r="AV58" s="140">
        <f>SUM(AV46:AV57)</f>
        <v>33781.590000000004</v>
      </c>
      <c r="AW58" s="136">
        <f t="shared" ref="AW58" si="14">SUM(AW46:AW57)</f>
        <v>11408</v>
      </c>
    </row>
    <row r="59" spans="1:49" ht="15.75" thickBot="1" x14ac:dyDescent="0.3">
      <c r="C59" s="150"/>
      <c r="D59" s="406">
        <f>SUM(E58+D58)</f>
        <v>0</v>
      </c>
      <c r="E59" s="407"/>
      <c r="F59" s="150"/>
      <c r="G59" s="406">
        <f>SUM(H58+G58)</f>
        <v>687566.05</v>
      </c>
      <c r="H59" s="407"/>
      <c r="I59" s="150"/>
      <c r="J59" s="406">
        <f>SUM(K58+J58)</f>
        <v>1068663.26</v>
      </c>
      <c r="K59" s="407"/>
      <c r="L59" s="34"/>
      <c r="M59" s="406">
        <f>SUM(N58+M58)</f>
        <v>689780.61</v>
      </c>
      <c r="N59" s="407"/>
      <c r="O59" s="34"/>
      <c r="P59" s="406">
        <f>SUM(Q58+P58)</f>
        <v>126252.64000000001</v>
      </c>
      <c r="Q59" s="407"/>
      <c r="R59" s="34"/>
      <c r="S59" s="406">
        <f>SUM(T58+S58)</f>
        <v>0</v>
      </c>
      <c r="T59" s="407"/>
      <c r="U59" s="34"/>
      <c r="V59" s="406">
        <f>SUM(W58+V58)</f>
        <v>0</v>
      </c>
      <c r="W59" s="407"/>
      <c r="X59" s="34"/>
      <c r="Y59" s="406">
        <f>SUM(Z58+Y58)</f>
        <v>0</v>
      </c>
      <c r="Z59" s="407"/>
      <c r="AA59" s="34"/>
      <c r="AB59" s="406">
        <f>SUM(AC58+AB58)</f>
        <v>5055.8599999999997</v>
      </c>
      <c r="AC59" s="407"/>
      <c r="AD59" s="152"/>
      <c r="AE59" s="406">
        <f>SUM(AF58+AE58)</f>
        <v>33042.080000000002</v>
      </c>
      <c r="AF59" s="407"/>
      <c r="AG59" s="152"/>
      <c r="AH59" s="151"/>
      <c r="AI59" s="152"/>
      <c r="AJ59" s="171"/>
      <c r="AK59" s="172"/>
      <c r="AL59" s="154"/>
      <c r="AM59" s="154"/>
      <c r="AN59" s="154"/>
      <c r="AO59" s="151"/>
      <c r="AP59" s="155"/>
      <c r="AQ59" s="155"/>
      <c r="AR59" s="155"/>
      <c r="AS59" s="155"/>
      <c r="AT59" s="152"/>
      <c r="AU59" s="151"/>
      <c r="AV59" s="151"/>
      <c r="AW59" s="133"/>
    </row>
    <row r="60" spans="1:49" ht="16.5" thickBot="1" x14ac:dyDescent="0.3">
      <c r="C60" s="302"/>
      <c r="D60" s="31"/>
      <c r="E60" s="303"/>
      <c r="F60" s="302"/>
      <c r="G60" s="296"/>
      <c r="H60" s="304"/>
      <c r="I60" s="302"/>
      <c r="J60" s="296"/>
      <c r="K60" s="296"/>
      <c r="L60" s="167"/>
      <c r="M60" s="31"/>
      <c r="N60" s="31"/>
      <c r="O60" s="167"/>
      <c r="P60" s="31"/>
      <c r="Q60" s="31"/>
      <c r="R60" s="297"/>
      <c r="S60" s="31"/>
      <c r="T60" s="31"/>
      <c r="U60" s="167"/>
      <c r="V60" s="31"/>
      <c r="W60" s="31"/>
      <c r="X60" s="167"/>
      <c r="Y60" s="31"/>
      <c r="Z60" s="31"/>
      <c r="AA60" s="167"/>
      <c r="AB60" s="31"/>
      <c r="AC60" s="31"/>
      <c r="AD60" s="167"/>
      <c r="AE60" s="167"/>
      <c r="AF60" s="167"/>
      <c r="AG60" s="167"/>
      <c r="AH60" s="31"/>
      <c r="AI60" s="167"/>
      <c r="AJ60" s="31"/>
      <c r="AK60" s="131"/>
      <c r="AL60" s="131"/>
      <c r="AM60" s="131"/>
      <c r="AN60" s="131"/>
      <c r="AO60" s="296"/>
      <c r="AP60" s="296"/>
      <c r="AQ60" s="296"/>
      <c r="AR60" s="31"/>
      <c r="AS60" s="131"/>
      <c r="AT60" s="167"/>
      <c r="AU60" s="167"/>
      <c r="AV60" s="167"/>
      <c r="AW60" s="131"/>
    </row>
    <row r="61" spans="1:49" ht="21.75" customHeight="1" thickBot="1" x14ac:dyDescent="0.3">
      <c r="A61" s="312"/>
      <c r="B61" s="192"/>
      <c r="C61" s="182"/>
      <c r="D61" s="193"/>
      <c r="E61" s="177"/>
      <c r="F61" s="177">
        <v>2227.21</v>
      </c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31"/>
      <c r="X61" s="167"/>
      <c r="Y61" s="31"/>
      <c r="Z61" s="31"/>
      <c r="AA61" s="167"/>
      <c r="AB61" s="31"/>
      <c r="AC61" s="31"/>
      <c r="AD61" s="167"/>
      <c r="AE61" s="167"/>
      <c r="AF61" s="167"/>
      <c r="AG61" s="167"/>
      <c r="AH61" s="31"/>
      <c r="AI61" s="167"/>
      <c r="AJ61" s="31"/>
      <c r="AK61" s="131"/>
      <c r="AL61" s="131"/>
      <c r="AM61" s="131"/>
      <c r="AN61" s="131"/>
      <c r="AO61" s="296"/>
      <c r="AP61" s="296"/>
      <c r="AQ61" s="296"/>
      <c r="AR61" s="31"/>
      <c r="AS61" s="131"/>
      <c r="AT61" s="167"/>
      <c r="AU61" s="167"/>
      <c r="AV61" s="167"/>
      <c r="AW61" s="131"/>
    </row>
    <row r="62" spans="1:49" ht="21.75" customHeight="1" x14ac:dyDescent="0.35">
      <c r="A62" s="403">
        <v>2025</v>
      </c>
      <c r="B62" s="358" t="s">
        <v>212</v>
      </c>
      <c r="C62" s="356"/>
      <c r="D62" s="356"/>
      <c r="E62" s="356"/>
      <c r="F62" s="357"/>
      <c r="G62" s="177"/>
      <c r="H62" s="358" t="s">
        <v>228</v>
      </c>
      <c r="I62" s="356"/>
      <c r="J62" s="356"/>
      <c r="K62" s="356"/>
      <c r="L62" s="359"/>
      <c r="M62" s="236"/>
      <c r="N62" s="237"/>
      <c r="O62" s="177"/>
      <c r="P62" s="360" t="s">
        <v>231</v>
      </c>
      <c r="Q62" s="361"/>
      <c r="R62" s="362"/>
      <c r="S62" s="177"/>
      <c r="T62" s="363" t="s">
        <v>238</v>
      </c>
      <c r="U62" s="364"/>
      <c r="V62" s="365"/>
      <c r="W62" s="31"/>
      <c r="X62" s="167"/>
      <c r="Y62" s="31"/>
      <c r="Z62" s="31"/>
      <c r="AA62" s="167"/>
      <c r="AB62" s="31"/>
      <c r="AC62" s="31"/>
      <c r="AD62" s="167"/>
      <c r="AE62" s="167"/>
      <c r="AF62" s="167"/>
      <c r="AG62" s="167"/>
      <c r="AH62" s="31"/>
      <c r="AI62" s="167"/>
      <c r="AJ62" s="31"/>
      <c r="AK62" s="131"/>
      <c r="AL62" s="131"/>
      <c r="AM62" s="131"/>
      <c r="AN62" s="131"/>
      <c r="AO62" s="296"/>
      <c r="AP62" s="296"/>
      <c r="AQ62" s="296"/>
      <c r="AR62" s="31"/>
      <c r="AS62" s="131"/>
      <c r="AT62" s="167"/>
      <c r="AU62" s="167"/>
      <c r="AV62" s="167"/>
      <c r="AW62" s="131"/>
    </row>
    <row r="63" spans="1:49" ht="30.75" customHeight="1" thickBot="1" x14ac:dyDescent="0.3">
      <c r="A63" s="404"/>
      <c r="B63" s="217" t="s">
        <v>267</v>
      </c>
      <c r="C63" s="214"/>
      <c r="D63" s="214"/>
      <c r="E63" s="214"/>
      <c r="F63" s="218"/>
      <c r="G63" s="177"/>
      <c r="H63" s="217" t="s">
        <v>267</v>
      </c>
      <c r="I63" s="223"/>
      <c r="J63" s="223"/>
      <c r="K63" s="223"/>
      <c r="L63" s="223"/>
      <c r="M63" s="255"/>
      <c r="N63" s="256"/>
      <c r="O63" s="177"/>
      <c r="P63" s="366" t="s">
        <v>267</v>
      </c>
      <c r="Q63" s="367"/>
      <c r="R63" s="368"/>
      <c r="S63" s="267"/>
      <c r="T63" s="86" t="s">
        <v>239</v>
      </c>
      <c r="U63" s="20" t="s">
        <v>240</v>
      </c>
      <c r="V63" s="14" t="s">
        <v>266</v>
      </c>
      <c r="W63" s="31"/>
      <c r="X63" s="167"/>
      <c r="Y63" s="31"/>
      <c r="Z63" s="31"/>
      <c r="AA63" s="167"/>
      <c r="AB63" s="31"/>
      <c r="AC63" s="31"/>
      <c r="AD63" s="167"/>
      <c r="AE63" s="167"/>
      <c r="AF63" s="167"/>
      <c r="AG63" s="167"/>
      <c r="AH63" s="31"/>
      <c r="AI63" s="167"/>
      <c r="AJ63" s="31"/>
      <c r="AK63" s="131"/>
      <c r="AL63" s="131"/>
      <c r="AM63" s="131"/>
      <c r="AN63" s="131"/>
      <c r="AO63" s="296"/>
      <c r="AP63" s="296"/>
      <c r="AQ63" s="296"/>
      <c r="AR63" s="31"/>
      <c r="AS63" s="131"/>
      <c r="AT63" s="167"/>
      <c r="AU63" s="167"/>
      <c r="AV63" s="167"/>
      <c r="AW63" s="131"/>
    </row>
    <row r="64" spans="1:49" ht="21.75" thickBot="1" x14ac:dyDescent="0.3">
      <c r="A64" s="404"/>
      <c r="B64" s="219" t="s">
        <v>0</v>
      </c>
      <c r="C64" s="220" t="s">
        <v>213</v>
      </c>
      <c r="D64" s="220" t="s">
        <v>214</v>
      </c>
      <c r="E64" s="220" t="s">
        <v>170</v>
      </c>
      <c r="F64" s="221" t="s">
        <v>215</v>
      </c>
      <c r="G64" s="177"/>
      <c r="H64" s="244" t="s">
        <v>0</v>
      </c>
      <c r="I64" s="246" t="s">
        <v>224</v>
      </c>
      <c r="J64" s="259" t="s">
        <v>225</v>
      </c>
      <c r="K64" s="246" t="s">
        <v>226</v>
      </c>
      <c r="L64" s="247" t="s">
        <v>229</v>
      </c>
      <c r="M64" s="262" t="s">
        <v>227</v>
      </c>
      <c r="N64" s="247" t="s">
        <v>225</v>
      </c>
      <c r="O64" s="177"/>
      <c r="P64" s="277" t="s">
        <v>0</v>
      </c>
      <c r="Q64" s="273" t="s">
        <v>224</v>
      </c>
      <c r="R64" s="247" t="s">
        <v>225</v>
      </c>
      <c r="S64" s="177"/>
      <c r="T64" s="290" t="s">
        <v>151</v>
      </c>
      <c r="U64" s="291" t="s">
        <v>151</v>
      </c>
      <c r="V64" s="292" t="s">
        <v>1</v>
      </c>
      <c r="W64" s="31"/>
      <c r="X64" s="167"/>
      <c r="Y64" s="31"/>
      <c r="Z64" s="31"/>
      <c r="AA64" s="167"/>
      <c r="AB64" s="31"/>
      <c r="AC64" s="31"/>
      <c r="AD64" s="167"/>
      <c r="AE64" s="167"/>
      <c r="AF64" s="167"/>
      <c r="AG64" s="167"/>
      <c r="AH64" s="31"/>
      <c r="AI64" s="167"/>
      <c r="AJ64" s="31"/>
      <c r="AK64" s="131"/>
      <c r="AL64" s="131"/>
      <c r="AM64" s="131"/>
      <c r="AN64" s="131"/>
      <c r="AO64" s="296"/>
      <c r="AP64" s="296"/>
      <c r="AQ64" s="296"/>
      <c r="AR64" s="31"/>
      <c r="AS64" s="131"/>
      <c r="AT64" s="167"/>
      <c r="AU64" s="167"/>
      <c r="AV64" s="167"/>
      <c r="AW64" s="131"/>
    </row>
    <row r="65" spans="1:49" ht="21" x14ac:dyDescent="0.25">
      <c r="A65" s="404"/>
      <c r="B65" s="222"/>
      <c r="C65" s="223"/>
      <c r="D65" s="224" t="s">
        <v>2</v>
      </c>
      <c r="E65" s="224" t="s">
        <v>1</v>
      </c>
      <c r="F65" s="225"/>
      <c r="G65" s="177"/>
      <c r="H65" s="245"/>
      <c r="I65" s="369" t="s">
        <v>230</v>
      </c>
      <c r="J65" s="370"/>
      <c r="K65" s="371" t="s">
        <v>230</v>
      </c>
      <c r="L65" s="370"/>
      <c r="M65" s="372" t="s">
        <v>230</v>
      </c>
      <c r="N65" s="370"/>
      <c r="O65" s="177"/>
      <c r="P65" s="278"/>
      <c r="Q65" s="373" t="s">
        <v>232</v>
      </c>
      <c r="R65" s="374"/>
      <c r="S65" s="177"/>
      <c r="T65" s="101"/>
      <c r="U65" s="3"/>
      <c r="V65" s="21"/>
      <c r="W65" s="31"/>
      <c r="X65" s="167"/>
      <c r="Y65" s="31"/>
      <c r="Z65" s="31"/>
      <c r="AA65" s="167"/>
      <c r="AB65" s="31"/>
      <c r="AC65" s="31"/>
      <c r="AD65" s="167"/>
      <c r="AE65" s="167"/>
      <c r="AF65" s="167"/>
      <c r="AG65" s="167"/>
      <c r="AH65" s="31"/>
      <c r="AI65" s="167"/>
      <c r="AJ65" s="31"/>
      <c r="AK65" s="131"/>
      <c r="AL65" s="131"/>
      <c r="AM65" s="131"/>
      <c r="AN65" s="131"/>
      <c r="AO65" s="296"/>
      <c r="AP65" s="296"/>
      <c r="AQ65" s="296"/>
      <c r="AR65" s="31"/>
      <c r="AS65" s="131"/>
      <c r="AT65" s="167"/>
      <c r="AU65" s="167"/>
      <c r="AV65" s="167"/>
      <c r="AW65" s="131"/>
    </row>
    <row r="66" spans="1:49" ht="21" x14ac:dyDescent="0.25">
      <c r="A66" s="404"/>
      <c r="B66" s="215" t="s">
        <v>3</v>
      </c>
      <c r="C66" s="214">
        <v>30.82</v>
      </c>
      <c r="D66" s="226">
        <v>64722</v>
      </c>
      <c r="E66" s="226">
        <v>136433.4</v>
      </c>
      <c r="F66" s="218"/>
      <c r="G66" s="177"/>
      <c r="H66" s="245" t="s">
        <v>245</v>
      </c>
      <c r="I66" s="248">
        <v>1.48</v>
      </c>
      <c r="J66" s="260">
        <v>5531.78</v>
      </c>
      <c r="K66" s="266"/>
      <c r="L66" s="238"/>
      <c r="M66" s="251">
        <v>14.52</v>
      </c>
      <c r="N66" s="238">
        <v>56871.5</v>
      </c>
      <c r="O66" s="177"/>
      <c r="P66" s="278" t="s">
        <v>245</v>
      </c>
      <c r="Q66" s="274">
        <v>1.56</v>
      </c>
      <c r="R66" s="268">
        <v>26779.31</v>
      </c>
      <c r="S66" s="177"/>
      <c r="T66" s="102"/>
      <c r="U66" s="7"/>
      <c r="V66" s="9"/>
      <c r="W66" s="31"/>
      <c r="X66" s="167"/>
      <c r="Y66" s="31"/>
      <c r="Z66" s="31"/>
      <c r="AA66" s="167"/>
      <c r="AB66" s="31"/>
      <c r="AC66" s="31"/>
      <c r="AD66" s="167"/>
      <c r="AE66" s="167"/>
      <c r="AF66" s="167"/>
      <c r="AG66" s="167"/>
      <c r="AH66" s="31"/>
      <c r="AI66" s="167"/>
      <c r="AJ66" s="31"/>
      <c r="AK66" s="131"/>
      <c r="AL66" s="131"/>
      <c r="AM66" s="131"/>
      <c r="AN66" s="131"/>
      <c r="AO66" s="296"/>
      <c r="AP66" s="296"/>
      <c r="AQ66" s="296"/>
      <c r="AR66" s="31"/>
      <c r="AS66" s="131"/>
      <c r="AT66" s="167"/>
      <c r="AU66" s="167"/>
      <c r="AV66" s="167"/>
      <c r="AW66" s="131"/>
    </row>
    <row r="67" spans="1:49" ht="21" x14ac:dyDescent="0.25">
      <c r="A67" s="404"/>
      <c r="B67" s="215" t="s">
        <v>4</v>
      </c>
      <c r="C67" s="214">
        <v>28.23</v>
      </c>
      <c r="D67" s="226">
        <v>59283</v>
      </c>
      <c r="E67" s="226">
        <v>136936.4</v>
      </c>
      <c r="F67" s="218"/>
      <c r="G67" s="177"/>
      <c r="H67" s="245" t="s">
        <v>4</v>
      </c>
      <c r="I67" s="248">
        <v>1.3</v>
      </c>
      <c r="J67" s="260">
        <v>4858.99</v>
      </c>
      <c r="K67" s="266">
        <v>3.06</v>
      </c>
      <c r="L67" s="238">
        <v>630.36</v>
      </c>
      <c r="M67" s="251">
        <v>13.44</v>
      </c>
      <c r="N67" s="238">
        <v>52641.38</v>
      </c>
      <c r="O67" s="177"/>
      <c r="P67" s="278" t="s">
        <v>4</v>
      </c>
      <c r="Q67" s="274">
        <v>1.52</v>
      </c>
      <c r="R67" s="268">
        <v>26828.880000000001</v>
      </c>
      <c r="S67" s="177"/>
      <c r="T67" s="102"/>
      <c r="U67" s="7"/>
      <c r="V67" s="9"/>
      <c r="W67" s="31"/>
      <c r="X67" s="167"/>
      <c r="Y67" s="31"/>
      <c r="Z67" s="31"/>
      <c r="AA67" s="167"/>
      <c r="AB67" s="31"/>
      <c r="AC67" s="31"/>
      <c r="AD67" s="167"/>
      <c r="AE67" s="167"/>
      <c r="AF67" s="167"/>
      <c r="AG67" s="167"/>
      <c r="AH67" s="31"/>
      <c r="AI67" s="167"/>
      <c r="AJ67" s="31"/>
      <c r="AK67" s="131"/>
      <c r="AL67" s="131"/>
      <c r="AM67" s="131"/>
      <c r="AN67" s="131"/>
      <c r="AO67" s="296"/>
      <c r="AP67" s="296"/>
      <c r="AQ67" s="296"/>
      <c r="AR67" s="31"/>
      <c r="AS67" s="131"/>
      <c r="AT67" s="167"/>
      <c r="AU67" s="167"/>
      <c r="AV67" s="167"/>
      <c r="AW67" s="131"/>
    </row>
    <row r="68" spans="1:49" ht="21" x14ac:dyDescent="0.25">
      <c r="A68" s="404"/>
      <c r="B68" s="215" t="s">
        <v>5</v>
      </c>
      <c r="C68" s="214">
        <v>35.42</v>
      </c>
      <c r="D68" s="226">
        <v>78887.77</v>
      </c>
      <c r="E68" s="226">
        <v>153291</v>
      </c>
      <c r="F68" s="218"/>
      <c r="G68" s="177"/>
      <c r="H68" s="245" t="s">
        <v>246</v>
      </c>
      <c r="I68" s="248">
        <v>1.96</v>
      </c>
      <c r="J68" s="260">
        <v>7325.87</v>
      </c>
      <c r="K68" s="266">
        <v>2.11</v>
      </c>
      <c r="L68" s="238">
        <v>434.66</v>
      </c>
      <c r="M68" s="251">
        <v>17.05</v>
      </c>
      <c r="N68" s="238">
        <v>66780.92</v>
      </c>
      <c r="O68" s="177"/>
      <c r="P68" s="278" t="s">
        <v>246</v>
      </c>
      <c r="Q68" s="274">
        <v>1.47</v>
      </c>
      <c r="R68" s="268">
        <v>26775.35</v>
      </c>
      <c r="S68" s="177"/>
      <c r="T68" s="102"/>
      <c r="U68" s="7"/>
      <c r="V68" s="9"/>
      <c r="W68" s="31"/>
      <c r="X68" s="167"/>
      <c r="Y68" s="31"/>
      <c r="Z68" s="31"/>
      <c r="AA68" s="167"/>
      <c r="AB68" s="31"/>
      <c r="AC68" s="31"/>
      <c r="AD68" s="167"/>
      <c r="AE68" s="167"/>
      <c r="AF68" s="167"/>
      <c r="AG68" s="167"/>
      <c r="AH68" s="31"/>
      <c r="AI68" s="167"/>
      <c r="AJ68" s="31"/>
      <c r="AK68" s="131"/>
      <c r="AL68" s="131"/>
      <c r="AM68" s="131"/>
      <c r="AN68" s="131"/>
      <c r="AO68" s="296"/>
      <c r="AP68" s="296"/>
      <c r="AQ68" s="296"/>
      <c r="AR68" s="31"/>
      <c r="AS68" s="131"/>
      <c r="AT68" s="167"/>
      <c r="AU68" s="167"/>
      <c r="AV68" s="167"/>
      <c r="AW68" s="131"/>
    </row>
    <row r="69" spans="1:49" ht="21" x14ac:dyDescent="0.25">
      <c r="A69" s="404"/>
      <c r="B69" s="215" t="s">
        <v>6</v>
      </c>
      <c r="C69" s="214">
        <v>38.33</v>
      </c>
      <c r="D69" s="226">
        <v>85368.95</v>
      </c>
      <c r="E69" s="226">
        <v>149177.60000000001</v>
      </c>
      <c r="F69" s="218"/>
      <c r="G69" s="177"/>
      <c r="H69" s="245" t="s">
        <v>247</v>
      </c>
      <c r="I69" s="248">
        <v>3.49</v>
      </c>
      <c r="J69" s="260">
        <v>13044.53</v>
      </c>
      <c r="K69" s="266">
        <v>1.54</v>
      </c>
      <c r="L69" s="238">
        <v>317.24</v>
      </c>
      <c r="M69" s="251">
        <v>21.3</v>
      </c>
      <c r="N69" s="238">
        <v>83427.199999999997</v>
      </c>
      <c r="O69" s="177"/>
      <c r="P69" s="278" t="s">
        <v>247</v>
      </c>
      <c r="Q69" s="274">
        <v>3.81</v>
      </c>
      <c r="R69" s="268">
        <v>54705.7</v>
      </c>
      <c r="S69" s="177"/>
      <c r="T69" s="102"/>
      <c r="U69" s="7"/>
      <c r="V69" s="9"/>
      <c r="W69" s="31"/>
      <c r="X69" s="167"/>
      <c r="Y69" s="31"/>
      <c r="Z69" s="31"/>
      <c r="AA69" s="167"/>
      <c r="AB69" s="31"/>
      <c r="AC69" s="31"/>
      <c r="AD69" s="167"/>
      <c r="AE69" s="167"/>
      <c r="AF69" s="167"/>
      <c r="AG69" s="167"/>
      <c r="AH69" s="31"/>
      <c r="AI69" s="167"/>
      <c r="AJ69" s="31"/>
      <c r="AK69" s="131"/>
      <c r="AL69" s="131"/>
      <c r="AM69" s="131"/>
      <c r="AN69" s="131"/>
      <c r="AO69" s="296"/>
      <c r="AP69" s="296"/>
      <c r="AQ69" s="296"/>
      <c r="AR69" s="31"/>
      <c r="AS69" s="131"/>
      <c r="AT69" s="167"/>
      <c r="AU69" s="167"/>
      <c r="AV69" s="167"/>
      <c r="AW69" s="131"/>
    </row>
    <row r="70" spans="1:49" ht="21" x14ac:dyDescent="0.25">
      <c r="A70" s="404"/>
      <c r="B70" s="215" t="s">
        <v>7</v>
      </c>
      <c r="C70" s="214">
        <v>28.58</v>
      </c>
      <c r="D70" s="226">
        <v>63653.66</v>
      </c>
      <c r="E70" s="226">
        <v>136184.5</v>
      </c>
      <c r="F70" s="218"/>
      <c r="G70" s="177"/>
      <c r="H70" s="245" t="s">
        <v>248</v>
      </c>
      <c r="I70" s="248">
        <v>2.88</v>
      </c>
      <c r="J70" s="260">
        <v>10764.54</v>
      </c>
      <c r="K70" s="266">
        <v>3.86</v>
      </c>
      <c r="L70" s="238">
        <v>795.16</v>
      </c>
      <c r="M70" s="251">
        <v>26.33</v>
      </c>
      <c r="N70" s="238">
        <v>103128.55</v>
      </c>
      <c r="O70" s="177"/>
      <c r="P70" s="278" t="s">
        <v>248</v>
      </c>
      <c r="Q70" s="274">
        <v>1.98</v>
      </c>
      <c r="R70" s="268">
        <v>27429.91</v>
      </c>
      <c r="S70" s="177"/>
      <c r="T70" s="102"/>
      <c r="U70" s="7"/>
      <c r="V70" s="9"/>
      <c r="W70" s="31"/>
      <c r="X70" s="167"/>
      <c r="Y70" s="31"/>
      <c r="Z70" s="31"/>
      <c r="AA70" s="167"/>
      <c r="AB70" s="31"/>
      <c r="AC70" s="31"/>
      <c r="AD70" s="167"/>
      <c r="AE70" s="167"/>
      <c r="AF70" s="167"/>
      <c r="AG70" s="167"/>
      <c r="AH70" s="31"/>
      <c r="AI70" s="167"/>
      <c r="AJ70" s="31"/>
      <c r="AK70" s="131"/>
      <c r="AL70" s="131"/>
      <c r="AM70" s="131"/>
      <c r="AN70" s="131"/>
      <c r="AO70" s="296"/>
      <c r="AP70" s="296"/>
      <c r="AQ70" s="296"/>
      <c r="AR70" s="31"/>
      <c r="AS70" s="131"/>
      <c r="AT70" s="167"/>
      <c r="AU70" s="167"/>
      <c r="AV70" s="167"/>
      <c r="AW70" s="131"/>
    </row>
    <row r="71" spans="1:49" ht="21" x14ac:dyDescent="0.25">
      <c r="A71" s="404"/>
      <c r="B71" s="215" t="s">
        <v>8</v>
      </c>
      <c r="C71" s="214">
        <v>37.86</v>
      </c>
      <c r="D71" s="226">
        <v>84322.17</v>
      </c>
      <c r="E71" s="226">
        <v>153326.70000000001</v>
      </c>
      <c r="F71" s="218"/>
      <c r="G71" s="177"/>
      <c r="H71" s="245" t="s">
        <v>249</v>
      </c>
      <c r="I71" s="248">
        <v>2.66</v>
      </c>
      <c r="J71" s="260">
        <v>9942.25</v>
      </c>
      <c r="K71" s="266"/>
      <c r="L71" s="238"/>
      <c r="M71" s="251">
        <v>24.9</v>
      </c>
      <c r="N71" s="238">
        <v>97527.57</v>
      </c>
      <c r="O71" s="177"/>
      <c r="P71" s="278" t="s">
        <v>249</v>
      </c>
      <c r="Q71" s="274">
        <v>1.93</v>
      </c>
      <c r="R71" s="268">
        <v>27399</v>
      </c>
      <c r="S71" s="177"/>
      <c r="T71" s="102"/>
      <c r="U71" s="7"/>
      <c r="V71" s="9"/>
      <c r="W71" s="31"/>
      <c r="X71" s="167"/>
      <c r="Y71" s="31"/>
      <c r="Z71" s="31"/>
      <c r="AA71" s="167"/>
      <c r="AB71" s="31"/>
      <c r="AC71" s="31"/>
      <c r="AD71" s="167"/>
      <c r="AE71" s="167"/>
      <c r="AF71" s="167"/>
      <c r="AG71" s="167"/>
      <c r="AH71" s="31"/>
      <c r="AI71" s="167"/>
      <c r="AJ71" s="31"/>
      <c r="AK71" s="131"/>
      <c r="AL71" s="131"/>
      <c r="AM71" s="131"/>
      <c r="AN71" s="131"/>
      <c r="AO71" s="296"/>
      <c r="AP71" s="296"/>
      <c r="AQ71" s="296"/>
      <c r="AR71" s="31"/>
      <c r="AS71" s="131"/>
      <c r="AT71" s="167"/>
      <c r="AU71" s="167"/>
      <c r="AV71" s="167"/>
      <c r="AW71" s="131"/>
    </row>
    <row r="72" spans="1:49" ht="21" x14ac:dyDescent="0.25">
      <c r="A72" s="404"/>
      <c r="B72" s="215" t="s">
        <v>9</v>
      </c>
      <c r="C72" s="214">
        <v>38.630000000000003</v>
      </c>
      <c r="D72" s="226">
        <v>86037.119999999995</v>
      </c>
      <c r="E72" s="226">
        <v>153726.39999999999</v>
      </c>
      <c r="F72" s="218"/>
      <c r="G72" s="177"/>
      <c r="H72" s="245" t="s">
        <v>250</v>
      </c>
      <c r="I72" s="248">
        <v>4</v>
      </c>
      <c r="J72" s="260">
        <v>14356</v>
      </c>
      <c r="K72" s="266">
        <v>3.94</v>
      </c>
      <c r="L72" s="238">
        <v>811.64</v>
      </c>
      <c r="M72" s="251">
        <v>28.71</v>
      </c>
      <c r="N72" s="238">
        <v>112450.46</v>
      </c>
      <c r="O72" s="177"/>
      <c r="P72" s="278" t="s">
        <v>250</v>
      </c>
      <c r="Q72" s="274">
        <v>1.93</v>
      </c>
      <c r="R72" s="268">
        <v>27379.61</v>
      </c>
      <c r="S72" s="177"/>
      <c r="T72" s="102"/>
      <c r="U72" s="7"/>
      <c r="V72" s="9"/>
      <c r="W72" s="31"/>
      <c r="X72" s="167"/>
      <c r="Y72" s="31"/>
      <c r="Z72" s="31"/>
      <c r="AA72" s="167"/>
      <c r="AB72" s="31"/>
      <c r="AC72" s="31"/>
      <c r="AD72" s="167"/>
      <c r="AE72" s="167"/>
      <c r="AF72" s="167"/>
      <c r="AG72" s="167"/>
      <c r="AH72" s="31"/>
      <c r="AI72" s="167"/>
      <c r="AJ72" s="31"/>
      <c r="AK72" s="131"/>
      <c r="AL72" s="131"/>
      <c r="AM72" s="131"/>
      <c r="AN72" s="131"/>
      <c r="AO72" s="296"/>
      <c r="AP72" s="296"/>
      <c r="AQ72" s="296"/>
      <c r="AR72" s="31"/>
      <c r="AS72" s="131"/>
      <c r="AT72" s="167"/>
      <c r="AU72" s="167"/>
      <c r="AV72" s="167"/>
      <c r="AW72" s="131"/>
    </row>
    <row r="73" spans="1:49" ht="21" x14ac:dyDescent="0.25">
      <c r="A73" s="404"/>
      <c r="B73" s="215" t="s">
        <v>10</v>
      </c>
      <c r="C73" s="214">
        <v>37.33</v>
      </c>
      <c r="D73" s="226">
        <v>83141.740000000005</v>
      </c>
      <c r="E73" s="226">
        <v>135424.20000000001</v>
      </c>
      <c r="F73" s="218"/>
      <c r="G73" s="177"/>
      <c r="H73" s="245" t="s">
        <v>251</v>
      </c>
      <c r="I73" s="248">
        <v>2.35</v>
      </c>
      <c r="J73" s="260">
        <v>8783.57</v>
      </c>
      <c r="K73" s="266">
        <v>3.88</v>
      </c>
      <c r="L73" s="238">
        <v>799.28</v>
      </c>
      <c r="M73" s="251">
        <v>28.53</v>
      </c>
      <c r="N73" s="238">
        <v>111745.44</v>
      </c>
      <c r="O73" s="177"/>
      <c r="P73" s="278" t="s">
        <v>251</v>
      </c>
      <c r="Q73" s="274">
        <v>1.85</v>
      </c>
      <c r="R73" s="268">
        <v>27278.46</v>
      </c>
      <c r="S73" s="177"/>
      <c r="T73" s="102"/>
      <c r="U73" s="7"/>
      <c r="V73" s="9"/>
      <c r="W73" s="31"/>
      <c r="X73" s="167"/>
      <c r="Y73" s="31"/>
      <c r="Z73" s="31"/>
      <c r="AA73" s="167"/>
      <c r="AB73" s="31"/>
      <c r="AC73" s="31"/>
      <c r="AD73" s="167"/>
      <c r="AE73" s="167"/>
      <c r="AF73" s="167"/>
      <c r="AG73" s="167"/>
      <c r="AH73" s="31"/>
      <c r="AI73" s="167"/>
      <c r="AJ73" s="31"/>
      <c r="AK73" s="131"/>
      <c r="AL73" s="131"/>
      <c r="AM73" s="131"/>
      <c r="AN73" s="131"/>
      <c r="AO73" s="296"/>
      <c r="AP73" s="296"/>
      <c r="AQ73" s="296"/>
      <c r="AR73" s="31"/>
      <c r="AS73" s="131"/>
      <c r="AT73" s="167"/>
      <c r="AU73" s="167"/>
      <c r="AV73" s="167"/>
      <c r="AW73" s="131"/>
    </row>
    <row r="74" spans="1:49" ht="21" x14ac:dyDescent="0.25">
      <c r="A74" s="404"/>
      <c r="B74" s="215" t="s">
        <v>11</v>
      </c>
      <c r="C74" s="214">
        <v>44.56</v>
      </c>
      <c r="D74" s="226">
        <v>99244.47</v>
      </c>
      <c r="E74" s="226">
        <v>171224.1</v>
      </c>
      <c r="F74" s="218"/>
      <c r="G74" s="177"/>
      <c r="H74" s="245" t="s">
        <v>252</v>
      </c>
      <c r="I74" s="248">
        <v>2.96</v>
      </c>
      <c r="J74" s="260">
        <v>11063.56</v>
      </c>
      <c r="K74" s="266">
        <v>3.7</v>
      </c>
      <c r="L74" s="238">
        <v>762.2</v>
      </c>
      <c r="M74" s="251">
        <v>29.57</v>
      </c>
      <c r="N74" s="238">
        <v>115818.88</v>
      </c>
      <c r="O74" s="177"/>
      <c r="P74" s="278" t="s">
        <v>252</v>
      </c>
      <c r="Q74" s="274">
        <v>1.95</v>
      </c>
      <c r="R74" s="268">
        <v>27453.360000000001</v>
      </c>
      <c r="S74" s="177"/>
      <c r="T74" s="102">
        <v>4.4800000000000004</v>
      </c>
      <c r="U74" s="7"/>
      <c r="V74" s="9">
        <v>5128.1000000000004</v>
      </c>
      <c r="W74" s="31"/>
      <c r="X74" s="167"/>
      <c r="Y74" s="31"/>
      <c r="Z74" s="31"/>
      <c r="AA74" s="167"/>
      <c r="AB74" s="31"/>
      <c r="AC74" s="31"/>
      <c r="AD74" s="167"/>
      <c r="AE74" s="167"/>
      <c r="AF74" s="167"/>
      <c r="AG74" s="167"/>
      <c r="AH74" s="31"/>
      <c r="AI74" s="167"/>
      <c r="AJ74" s="31"/>
      <c r="AK74" s="131"/>
      <c r="AL74" s="131"/>
      <c r="AM74" s="131"/>
      <c r="AN74" s="131"/>
      <c r="AO74" s="296"/>
      <c r="AP74" s="296"/>
      <c r="AQ74" s="296"/>
      <c r="AR74" s="31"/>
      <c r="AS74" s="131"/>
      <c r="AT74" s="167"/>
      <c r="AU74" s="167"/>
      <c r="AV74" s="167"/>
      <c r="AW74" s="131"/>
    </row>
    <row r="75" spans="1:49" ht="21" x14ac:dyDescent="0.25">
      <c r="A75" s="404"/>
      <c r="B75" s="215" t="s">
        <v>12</v>
      </c>
      <c r="C75" s="214">
        <v>34.75</v>
      </c>
      <c r="D75" s="226">
        <v>77395.539999999994</v>
      </c>
      <c r="E75" s="226">
        <v>136770.70000000001</v>
      </c>
      <c r="F75" s="218"/>
      <c r="G75" s="177"/>
      <c r="H75" s="245" t="s">
        <v>254</v>
      </c>
      <c r="I75" s="248">
        <v>2.64</v>
      </c>
      <c r="J75" s="260">
        <v>9868.5</v>
      </c>
      <c r="K75" s="266">
        <v>0.92</v>
      </c>
      <c r="L75" s="238">
        <v>189.52</v>
      </c>
      <c r="M75" s="251">
        <v>20.9</v>
      </c>
      <c r="N75" s="238">
        <v>81860.490000000005</v>
      </c>
      <c r="O75" s="177"/>
      <c r="P75" s="278" t="s">
        <v>253</v>
      </c>
      <c r="Q75" s="274">
        <v>1.95</v>
      </c>
      <c r="R75" s="268">
        <v>27408.13</v>
      </c>
      <c r="S75" s="177"/>
      <c r="T75" s="102"/>
      <c r="U75" s="7"/>
      <c r="V75" s="9"/>
      <c r="W75" s="31"/>
      <c r="X75" s="167"/>
      <c r="Y75" s="31"/>
      <c r="Z75" s="31"/>
      <c r="AA75" s="167"/>
      <c r="AB75" s="31"/>
      <c r="AC75" s="31"/>
      <c r="AD75" s="167"/>
      <c r="AE75" s="167"/>
      <c r="AF75" s="167"/>
      <c r="AG75" s="167"/>
      <c r="AH75" s="31"/>
      <c r="AI75" s="167"/>
      <c r="AJ75" s="31"/>
      <c r="AK75" s="131"/>
      <c r="AL75" s="131"/>
      <c r="AM75" s="131"/>
      <c r="AN75" s="131"/>
      <c r="AO75" s="296"/>
      <c r="AP75" s="296"/>
      <c r="AQ75" s="296"/>
      <c r="AR75" s="31"/>
      <c r="AS75" s="131"/>
      <c r="AT75" s="167"/>
      <c r="AU75" s="167"/>
      <c r="AV75" s="167"/>
      <c r="AW75" s="131"/>
    </row>
    <row r="76" spans="1:49" ht="21" x14ac:dyDescent="0.25">
      <c r="A76" s="404"/>
      <c r="B76" s="215" t="s">
        <v>13</v>
      </c>
      <c r="C76" s="227">
        <v>32.6</v>
      </c>
      <c r="D76" s="226">
        <v>72607.039999999994</v>
      </c>
      <c r="E76" s="226">
        <v>133722.4</v>
      </c>
      <c r="F76" s="218"/>
      <c r="G76" s="177"/>
      <c r="H76" s="245" t="s">
        <v>259</v>
      </c>
      <c r="I76" s="249">
        <v>1.99</v>
      </c>
      <c r="J76" s="260">
        <v>7438</v>
      </c>
      <c r="K76" s="266">
        <v>2.85</v>
      </c>
      <c r="L76" s="238">
        <v>587.1</v>
      </c>
      <c r="M76" s="251">
        <v>16.440000000000001</v>
      </c>
      <c r="N76" s="238">
        <v>64391.69</v>
      </c>
      <c r="O76" s="177"/>
      <c r="P76" s="278" t="s">
        <v>259</v>
      </c>
      <c r="Q76" s="275">
        <v>1.81</v>
      </c>
      <c r="R76" s="268">
        <v>27227.88</v>
      </c>
      <c r="S76" s="177"/>
      <c r="T76" s="102"/>
      <c r="U76" s="7"/>
      <c r="V76" s="9"/>
      <c r="W76" s="31"/>
      <c r="X76" s="167"/>
      <c r="Y76" s="31"/>
      <c r="Z76" s="31"/>
      <c r="AA76" s="167"/>
      <c r="AB76" s="31"/>
      <c r="AC76" s="31"/>
      <c r="AD76" s="167"/>
      <c r="AE76" s="167"/>
      <c r="AF76" s="167"/>
      <c r="AG76" s="167"/>
      <c r="AH76" s="31"/>
      <c r="AI76" s="167"/>
      <c r="AJ76" s="31"/>
      <c r="AK76" s="131"/>
      <c r="AL76" s="131"/>
      <c r="AM76" s="131"/>
      <c r="AN76" s="131"/>
      <c r="AO76" s="296"/>
      <c r="AP76" s="296"/>
      <c r="AQ76" s="296"/>
      <c r="AR76" s="31"/>
      <c r="AS76" s="131"/>
      <c r="AT76" s="167"/>
      <c r="AU76" s="167"/>
      <c r="AV76" s="167"/>
      <c r="AW76" s="131"/>
    </row>
    <row r="77" spans="1:49" ht="21.75" thickBot="1" x14ac:dyDescent="0.3">
      <c r="A77" s="404"/>
      <c r="B77" s="215" t="s">
        <v>14</v>
      </c>
      <c r="C77" s="214">
        <v>41.27</v>
      </c>
      <c r="D77" s="226">
        <v>91916.95</v>
      </c>
      <c r="E77" s="226">
        <v>172790.3</v>
      </c>
      <c r="F77" s="218"/>
      <c r="G77" s="177"/>
      <c r="H77" s="245" t="s">
        <v>260</v>
      </c>
      <c r="I77" s="250">
        <v>1.92</v>
      </c>
      <c r="J77" s="261">
        <v>7164.26</v>
      </c>
      <c r="K77" s="295">
        <v>1.45</v>
      </c>
      <c r="L77" s="254">
        <v>298.7</v>
      </c>
      <c r="M77" s="263">
        <v>17.95</v>
      </c>
      <c r="N77" s="254">
        <v>70306.02</v>
      </c>
      <c r="O77" s="177"/>
      <c r="P77" s="279" t="s">
        <v>260</v>
      </c>
      <c r="Q77" s="276">
        <v>1.75</v>
      </c>
      <c r="R77" s="269">
        <v>26851.56</v>
      </c>
      <c r="S77" s="177"/>
      <c r="T77" s="15"/>
      <c r="U77" s="17"/>
      <c r="V77" s="78"/>
      <c r="W77" s="31"/>
      <c r="X77" s="167"/>
      <c r="Y77" s="31"/>
      <c r="Z77" s="31"/>
      <c r="AA77" s="167"/>
      <c r="AB77" s="31"/>
      <c r="AC77" s="31"/>
      <c r="AD77" s="167"/>
      <c r="AE77" s="167"/>
      <c r="AF77" s="167"/>
      <c r="AG77" s="167"/>
      <c r="AH77" s="31"/>
      <c r="AI77" s="167"/>
      <c r="AJ77" s="31"/>
      <c r="AK77" s="131"/>
      <c r="AL77" s="131"/>
      <c r="AM77" s="131"/>
      <c r="AN77" s="131"/>
      <c r="AO77" s="296"/>
      <c r="AP77" s="296"/>
      <c r="AQ77" s="296"/>
      <c r="AR77" s="31"/>
      <c r="AS77" s="131"/>
      <c r="AT77" s="167"/>
      <c r="AU77" s="167"/>
      <c r="AV77" s="167"/>
      <c r="AW77" s="131"/>
    </row>
    <row r="78" spans="1:49" ht="21.75" thickBot="1" x14ac:dyDescent="0.3">
      <c r="A78" s="404"/>
      <c r="B78" s="216" t="s">
        <v>15</v>
      </c>
      <c r="C78" s="228">
        <f>SUM(C66:C77)</f>
        <v>428.38</v>
      </c>
      <c r="D78" s="229">
        <f>SUM(D66:D77)</f>
        <v>946580.41</v>
      </c>
      <c r="E78" s="229">
        <f>SUM(E66:E77)</f>
        <v>1769007.7000000002</v>
      </c>
      <c r="F78" s="230"/>
      <c r="G78" s="177"/>
      <c r="H78" s="239" t="s">
        <v>15</v>
      </c>
      <c r="I78" s="228">
        <f t="shared" ref="I78:J78" si="15">SUM(I66:I77)</f>
        <v>29.630000000000003</v>
      </c>
      <c r="J78" s="229">
        <f t="shared" si="15"/>
        <v>110141.84999999999</v>
      </c>
      <c r="K78" s="265">
        <f>SUM(K66:K77)</f>
        <v>27.310000000000002</v>
      </c>
      <c r="L78" s="252">
        <f t="shared" ref="L78:N78" si="16">SUM(L66:L77)</f>
        <v>5625.8600000000006</v>
      </c>
      <c r="M78" s="257">
        <f t="shared" si="16"/>
        <v>259.64</v>
      </c>
      <c r="N78" s="258">
        <f t="shared" si="16"/>
        <v>1016950.1000000001</v>
      </c>
      <c r="O78" s="177"/>
      <c r="P78" s="270" t="s">
        <v>15</v>
      </c>
      <c r="Q78" s="271">
        <f t="shared" ref="Q78:R78" si="17">SUM(Q66:Q77)</f>
        <v>23.509999999999998</v>
      </c>
      <c r="R78" s="272">
        <f t="shared" si="17"/>
        <v>353517.15</v>
      </c>
      <c r="S78" s="177"/>
      <c r="T78" s="293">
        <f>SUM(T65:T76)</f>
        <v>4.4800000000000004</v>
      </c>
      <c r="U78" s="173">
        <f>SUM(U65:U76)</f>
        <v>0</v>
      </c>
      <c r="V78" s="294">
        <f>SUM(V65:V76)</f>
        <v>5128.1000000000004</v>
      </c>
      <c r="W78" s="31"/>
      <c r="X78" s="167"/>
      <c r="Y78" s="31"/>
      <c r="Z78" s="31"/>
      <c r="AA78" s="167"/>
      <c r="AB78" s="31"/>
      <c r="AC78" s="31"/>
      <c r="AD78" s="167"/>
      <c r="AE78" s="167"/>
      <c r="AF78" s="167"/>
      <c r="AG78" s="167"/>
      <c r="AH78" s="31"/>
      <c r="AI78" s="167"/>
      <c r="AJ78" s="31"/>
      <c r="AK78" s="131"/>
      <c r="AL78" s="131"/>
      <c r="AM78" s="131"/>
      <c r="AN78" s="131"/>
      <c r="AO78" s="296"/>
      <c r="AP78" s="296"/>
      <c r="AQ78" s="296"/>
      <c r="AR78" s="31"/>
      <c r="AS78" s="131"/>
      <c r="AT78" s="167"/>
      <c r="AU78" s="167"/>
      <c r="AV78" s="167"/>
      <c r="AW78" s="131"/>
    </row>
    <row r="79" spans="1:49" ht="21.75" thickBot="1" x14ac:dyDescent="0.3">
      <c r="A79" s="404"/>
      <c r="B79" s="342" t="s">
        <v>268</v>
      </c>
      <c r="C79" s="342"/>
      <c r="D79" s="343">
        <f>SUM(E78+D78+D59+G59+J59+J78+N78+R78+M59+P59+S59+V59+Y59+AB59+AE59-AN59+AO59-AU59+AV59-AM59)</f>
        <v>6806557.71</v>
      </c>
      <c r="E79" s="344"/>
      <c r="F79" s="345"/>
      <c r="G79" s="177"/>
      <c r="H79" s="243"/>
      <c r="I79" s="243"/>
      <c r="J79" s="240"/>
      <c r="K79" s="240"/>
      <c r="L79" s="240"/>
      <c r="M79" s="241"/>
      <c r="N79" s="241"/>
      <c r="O79" s="177"/>
      <c r="P79" s="177"/>
      <c r="Q79" s="177"/>
      <c r="R79" s="177"/>
      <c r="S79" s="177"/>
      <c r="T79" s="289"/>
      <c r="U79" s="287">
        <f>SUM(V78+U78)</f>
        <v>5128.1000000000004</v>
      </c>
      <c r="V79" s="288"/>
      <c r="W79" s="31"/>
      <c r="X79" s="167"/>
      <c r="Y79" s="31"/>
      <c r="Z79" s="31"/>
      <c r="AA79" s="167"/>
      <c r="AB79" s="31"/>
      <c r="AC79" s="31"/>
      <c r="AD79" s="167"/>
      <c r="AE79" s="167"/>
      <c r="AF79" s="167"/>
      <c r="AG79" s="167"/>
      <c r="AH79" s="31"/>
      <c r="AI79" s="167"/>
      <c r="AJ79" s="31"/>
      <c r="AK79" s="131"/>
      <c r="AL79" s="131"/>
      <c r="AM79" s="131"/>
      <c r="AN79" s="131"/>
      <c r="AO79" s="296"/>
      <c r="AP79" s="296"/>
      <c r="AQ79" s="296"/>
      <c r="AR79" s="31"/>
      <c r="AS79" s="131"/>
      <c r="AT79" s="167"/>
      <c r="AU79" s="167"/>
      <c r="AV79" s="167"/>
      <c r="AW79" s="131"/>
    </row>
    <row r="80" spans="1:49" ht="21.75" thickBot="1" x14ac:dyDescent="0.3">
      <c r="A80" s="404"/>
      <c r="B80" s="346" t="s">
        <v>206</v>
      </c>
      <c r="C80" s="346"/>
      <c r="D80" s="347">
        <f>SUM(C78+C58+F58+I58+L58+O58+R58+M78)</f>
        <v>1329.98</v>
      </c>
      <c r="E80" s="348"/>
      <c r="F80" s="349"/>
      <c r="G80" s="177"/>
      <c r="H80" s="280" t="s">
        <v>236</v>
      </c>
      <c r="I80" s="281">
        <f>SUM(AP59+I78+Q78)</f>
        <v>53.14</v>
      </c>
      <c r="J80" s="242"/>
      <c r="K80" s="282" t="s">
        <v>27</v>
      </c>
      <c r="L80" s="283">
        <f>SUM(AR59+K78)</f>
        <v>27.310000000000002</v>
      </c>
      <c r="M80" s="241"/>
      <c r="N80" s="284" t="s">
        <v>237</v>
      </c>
      <c r="O80" s="285">
        <f>SUM(F59+C78+M78+C59)</f>
        <v>688.02</v>
      </c>
      <c r="P80" s="177"/>
      <c r="Q80" s="286"/>
      <c r="R80" s="177"/>
      <c r="S80" s="177"/>
      <c r="T80" s="177"/>
      <c r="U80" s="177"/>
      <c r="V80" s="177"/>
      <c r="W80" s="31"/>
      <c r="X80" s="167"/>
      <c r="Y80" s="31"/>
      <c r="Z80" s="31"/>
      <c r="AA80" s="167"/>
      <c r="AB80" s="31"/>
      <c r="AC80" s="31"/>
      <c r="AD80" s="167"/>
      <c r="AE80" s="167"/>
      <c r="AF80" s="167"/>
      <c r="AG80" s="167"/>
      <c r="AH80" s="31"/>
      <c r="AI80" s="167"/>
      <c r="AJ80" s="31"/>
      <c r="AK80" s="131"/>
      <c r="AL80" s="131"/>
      <c r="AM80" s="131"/>
      <c r="AN80" s="131"/>
      <c r="AO80" s="296"/>
      <c r="AP80" s="296"/>
      <c r="AQ80" s="296"/>
      <c r="AR80" s="31"/>
      <c r="AS80" s="131"/>
      <c r="AT80" s="167"/>
      <c r="AU80" s="167"/>
      <c r="AV80" s="167"/>
      <c r="AW80" s="131"/>
    </row>
    <row r="81" spans="1:49" ht="21.75" thickBot="1" x14ac:dyDescent="0.3">
      <c r="A81" s="405"/>
      <c r="B81" s="399" t="s">
        <v>207</v>
      </c>
      <c r="C81" s="399"/>
      <c r="D81" s="400">
        <f>SUM(E78+E58+H58+K58+Q58+N58+T58+W58+Z58+AC58+AF58+AV58)</f>
        <v>3095551.47</v>
      </c>
      <c r="E81" s="401"/>
      <c r="F81" s="402"/>
      <c r="G81" s="177"/>
      <c r="H81" s="243"/>
      <c r="I81" s="243"/>
      <c r="J81" s="241"/>
      <c r="K81" s="241"/>
      <c r="L81" s="241"/>
      <c r="M81" s="241"/>
      <c r="N81" s="241"/>
      <c r="O81" s="177"/>
      <c r="P81" s="177"/>
      <c r="Q81" s="177"/>
      <c r="R81" s="177"/>
      <c r="S81" s="177"/>
      <c r="T81" s="177"/>
      <c r="U81" s="177"/>
      <c r="V81" s="177"/>
      <c r="W81" s="31"/>
      <c r="X81" s="167"/>
      <c r="Y81" s="31"/>
      <c r="Z81" s="31"/>
      <c r="AA81" s="167"/>
      <c r="AB81" s="31"/>
      <c r="AC81" s="31"/>
      <c r="AD81" s="167"/>
      <c r="AE81" s="167"/>
      <c r="AF81" s="167"/>
      <c r="AG81" s="167"/>
      <c r="AH81" s="31"/>
      <c r="AI81" s="167"/>
      <c r="AJ81" s="31"/>
      <c r="AK81" s="131"/>
      <c r="AL81" s="131"/>
      <c r="AM81" s="131"/>
      <c r="AN81" s="131"/>
      <c r="AO81" s="296"/>
      <c r="AP81" s="296"/>
      <c r="AQ81" s="296"/>
      <c r="AR81" s="31"/>
      <c r="AS81" s="131"/>
      <c r="AT81" s="167"/>
      <c r="AU81" s="167"/>
      <c r="AV81" s="167"/>
      <c r="AW81" s="131"/>
    </row>
    <row r="82" spans="1:49" ht="15.75" x14ac:dyDescent="0.25">
      <c r="C82" s="302"/>
      <c r="D82" s="31"/>
      <c r="E82" s="303"/>
      <c r="F82" s="302"/>
      <c r="G82" s="296"/>
      <c r="H82" s="304"/>
      <c r="I82" s="302"/>
      <c r="J82" s="296"/>
      <c r="K82" s="296"/>
      <c r="L82" s="167"/>
      <c r="M82" s="31"/>
      <c r="N82" s="31"/>
      <c r="O82" s="167"/>
      <c r="P82" s="31"/>
      <c r="Q82" s="31"/>
      <c r="R82" s="297"/>
      <c r="S82" s="31"/>
      <c r="T82" s="31"/>
      <c r="U82" s="167"/>
      <c r="V82" s="31"/>
      <c r="W82" s="31"/>
      <c r="X82" s="167"/>
      <c r="Y82" s="31"/>
      <c r="Z82" s="31"/>
      <c r="AA82" s="167"/>
      <c r="AB82" s="31"/>
      <c r="AC82" s="31"/>
      <c r="AD82" s="167"/>
      <c r="AE82" s="167"/>
      <c r="AF82" s="167"/>
      <c r="AG82" s="167"/>
      <c r="AH82" s="31"/>
      <c r="AI82" s="167"/>
      <c r="AJ82" s="31"/>
      <c r="AK82" s="131"/>
      <c r="AL82" s="131"/>
      <c r="AM82" s="131"/>
      <c r="AN82" s="131"/>
      <c r="AO82" s="296"/>
      <c r="AP82" s="296"/>
      <c r="AQ82" s="296"/>
      <c r="AR82" s="31"/>
      <c r="AS82" s="131"/>
      <c r="AT82" s="167"/>
      <c r="AU82" s="167"/>
      <c r="AV82" s="167"/>
      <c r="AW82" s="131"/>
    </row>
    <row r="83" spans="1:49" ht="16.5" thickBot="1" x14ac:dyDescent="0.3">
      <c r="C83" s="302"/>
      <c r="D83" s="31"/>
      <c r="E83" s="303"/>
      <c r="F83" s="302"/>
      <c r="G83" s="296"/>
      <c r="H83" s="304"/>
      <c r="I83" s="302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167"/>
      <c r="AH83" s="31"/>
      <c r="AI83" s="167"/>
      <c r="AJ83" s="31"/>
      <c r="AK83" s="131"/>
      <c r="AL83" s="131"/>
      <c r="AM83" s="131"/>
      <c r="AN83" s="131"/>
      <c r="AO83" s="296"/>
      <c r="AP83" s="296"/>
      <c r="AQ83" s="296"/>
      <c r="AR83" s="31"/>
      <c r="AS83" s="131"/>
      <c r="AT83" s="167"/>
      <c r="AU83" s="167"/>
      <c r="AV83" s="167"/>
      <c r="AW83" s="131"/>
    </row>
    <row r="84" spans="1:49" ht="20.25" thickTop="1" thickBot="1" x14ac:dyDescent="0.3">
      <c r="B84" s="197" t="s">
        <v>263</v>
      </c>
      <c r="C84" s="382" t="s">
        <v>233</v>
      </c>
      <c r="D84" s="383"/>
      <c r="E84" s="384"/>
      <c r="F84" s="382" t="s">
        <v>235</v>
      </c>
      <c r="G84" s="383"/>
      <c r="H84" s="384"/>
      <c r="I84" s="382" t="s">
        <v>125</v>
      </c>
      <c r="J84" s="383"/>
      <c r="K84" s="385"/>
      <c r="L84" s="386" t="s">
        <v>129</v>
      </c>
      <c r="M84" s="364"/>
      <c r="N84" s="365"/>
      <c r="O84" s="363" t="s">
        <v>134</v>
      </c>
      <c r="P84" s="364"/>
      <c r="Q84" s="365"/>
      <c r="R84" s="387" t="s">
        <v>154</v>
      </c>
      <c r="S84" s="388"/>
      <c r="T84" s="389"/>
      <c r="U84" s="363" t="s">
        <v>158</v>
      </c>
      <c r="V84" s="364"/>
      <c r="W84" s="365"/>
      <c r="X84" s="363" t="s">
        <v>159</v>
      </c>
      <c r="Y84" s="364"/>
      <c r="Z84" s="365"/>
      <c r="AA84" s="363" t="s">
        <v>138</v>
      </c>
      <c r="AB84" s="364"/>
      <c r="AC84" s="365"/>
      <c r="AD84" s="363" t="s">
        <v>130</v>
      </c>
      <c r="AE84" s="364"/>
      <c r="AF84" s="365"/>
      <c r="AG84" s="393" t="s">
        <v>152</v>
      </c>
      <c r="AH84" s="408"/>
      <c r="AI84" s="409" t="s">
        <v>167</v>
      </c>
      <c r="AJ84" s="408"/>
      <c r="AK84" s="146"/>
      <c r="AL84" s="146"/>
      <c r="AM84" s="146"/>
      <c r="AN84" s="146"/>
      <c r="AO84" s="396" t="s">
        <v>99</v>
      </c>
      <c r="AP84" s="397"/>
      <c r="AQ84" s="397"/>
      <c r="AR84" s="410"/>
      <c r="AS84" s="146"/>
      <c r="AT84" s="393" t="s">
        <v>145</v>
      </c>
      <c r="AU84" s="394"/>
      <c r="AV84" s="395"/>
      <c r="AW84" s="147"/>
    </row>
    <row r="85" spans="1:49" ht="60" x14ac:dyDescent="0.25">
      <c r="A85" s="403" t="s">
        <v>262</v>
      </c>
      <c r="B85" s="198" t="s">
        <v>0</v>
      </c>
      <c r="C85" s="110" t="s">
        <v>119</v>
      </c>
      <c r="D85" s="20" t="s">
        <v>120</v>
      </c>
      <c r="E85" s="14" t="s">
        <v>121</v>
      </c>
      <c r="F85" s="86" t="s">
        <v>119</v>
      </c>
      <c r="G85" s="20" t="s">
        <v>120</v>
      </c>
      <c r="H85" s="14" t="s">
        <v>121</v>
      </c>
      <c r="I85" s="86" t="s">
        <v>23</v>
      </c>
      <c r="J85" s="20" t="s">
        <v>122</v>
      </c>
      <c r="K85" s="111" t="s">
        <v>123</v>
      </c>
      <c r="L85" s="184" t="s">
        <v>131</v>
      </c>
      <c r="M85" s="20" t="s">
        <v>132</v>
      </c>
      <c r="N85" s="14" t="s">
        <v>133</v>
      </c>
      <c r="O85" s="86" t="s">
        <v>135</v>
      </c>
      <c r="P85" s="20" t="s">
        <v>136</v>
      </c>
      <c r="Q85" s="14" t="s">
        <v>137</v>
      </c>
      <c r="R85" s="86" t="s">
        <v>155</v>
      </c>
      <c r="S85" s="20" t="s">
        <v>156</v>
      </c>
      <c r="T85" s="14" t="s">
        <v>157</v>
      </c>
      <c r="U85" s="86" t="s">
        <v>160</v>
      </c>
      <c r="V85" s="20" t="s">
        <v>161</v>
      </c>
      <c r="W85" s="14" t="s">
        <v>162</v>
      </c>
      <c r="X85" s="86" t="s">
        <v>163</v>
      </c>
      <c r="Y85" s="20" t="s">
        <v>164</v>
      </c>
      <c r="Z85" s="14" t="s">
        <v>165</v>
      </c>
      <c r="AA85" s="86" t="s">
        <v>139</v>
      </c>
      <c r="AB85" s="20" t="s">
        <v>140</v>
      </c>
      <c r="AC85" s="14" t="s">
        <v>141</v>
      </c>
      <c r="AD85" s="86" t="s">
        <v>126</v>
      </c>
      <c r="AE85" s="20" t="s">
        <v>127</v>
      </c>
      <c r="AF85" s="14" t="s">
        <v>128</v>
      </c>
      <c r="AG85" s="315" t="s">
        <v>172</v>
      </c>
      <c r="AH85" s="315" t="s">
        <v>171</v>
      </c>
      <c r="AI85" s="315" t="s">
        <v>169</v>
      </c>
      <c r="AJ85" s="315" t="s">
        <v>170</v>
      </c>
      <c r="AK85" s="316" t="s">
        <v>173</v>
      </c>
      <c r="AL85" s="316" t="s">
        <v>97</v>
      </c>
      <c r="AM85" s="316" t="s">
        <v>101</v>
      </c>
      <c r="AN85" s="316" t="s">
        <v>66</v>
      </c>
      <c r="AO85" s="315" t="s">
        <v>202</v>
      </c>
      <c r="AP85" s="316" t="s">
        <v>90</v>
      </c>
      <c r="AQ85" s="316" t="s">
        <v>91</v>
      </c>
      <c r="AR85" s="316" t="s">
        <v>27</v>
      </c>
      <c r="AS85" s="316" t="s">
        <v>100</v>
      </c>
      <c r="AT85" s="317" t="s">
        <v>146</v>
      </c>
      <c r="AU85" s="22" t="s">
        <v>148</v>
      </c>
      <c r="AV85" s="318" t="s">
        <v>147</v>
      </c>
      <c r="AW85" s="135" t="s">
        <v>94</v>
      </c>
    </row>
    <row r="86" spans="1:49" ht="15.75" thickBot="1" x14ac:dyDescent="0.3">
      <c r="A86" s="404"/>
      <c r="B86" s="199"/>
      <c r="C86" s="112" t="s">
        <v>151</v>
      </c>
      <c r="D86" s="18" t="s">
        <v>151</v>
      </c>
      <c r="E86" s="87" t="s">
        <v>1</v>
      </c>
      <c r="F86" s="90" t="s">
        <v>151</v>
      </c>
      <c r="G86" s="18" t="s">
        <v>151</v>
      </c>
      <c r="H86" s="87" t="s">
        <v>1</v>
      </c>
      <c r="I86" s="90" t="s">
        <v>151</v>
      </c>
      <c r="J86" s="18" t="s">
        <v>151</v>
      </c>
      <c r="K86" s="113" t="s">
        <v>1</v>
      </c>
      <c r="L86" s="85" t="s">
        <v>151</v>
      </c>
      <c r="M86" s="18" t="s">
        <v>151</v>
      </c>
      <c r="N86" s="87" t="s">
        <v>1</v>
      </c>
      <c r="O86" s="90" t="s">
        <v>151</v>
      </c>
      <c r="P86" s="18" t="s">
        <v>151</v>
      </c>
      <c r="Q86" s="87" t="s">
        <v>1</v>
      </c>
      <c r="R86" s="90" t="s">
        <v>151</v>
      </c>
      <c r="S86" s="18" t="s">
        <v>151</v>
      </c>
      <c r="T86" s="87" t="s">
        <v>1</v>
      </c>
      <c r="U86" s="90" t="s">
        <v>151</v>
      </c>
      <c r="V86" s="18" t="s">
        <v>151</v>
      </c>
      <c r="W86" s="87" t="s">
        <v>1</v>
      </c>
      <c r="X86" s="90" t="s">
        <v>151</v>
      </c>
      <c r="Y86" s="18" t="s">
        <v>151</v>
      </c>
      <c r="Z86" s="87" t="s">
        <v>1</v>
      </c>
      <c r="AA86" s="90" t="s">
        <v>151</v>
      </c>
      <c r="AB86" s="18" t="s">
        <v>151</v>
      </c>
      <c r="AC86" s="87" t="s">
        <v>1</v>
      </c>
      <c r="AD86" s="90" t="s">
        <v>151</v>
      </c>
      <c r="AE86" s="18" t="s">
        <v>151</v>
      </c>
      <c r="AF86" s="87" t="s">
        <v>151</v>
      </c>
      <c r="AG86" s="85" t="s">
        <v>17</v>
      </c>
      <c r="AH86" s="18" t="s">
        <v>18</v>
      </c>
      <c r="AI86" s="85" t="s">
        <v>168</v>
      </c>
      <c r="AJ86" s="18" t="s">
        <v>151</v>
      </c>
      <c r="AK86" s="18" t="s">
        <v>18</v>
      </c>
      <c r="AL86" s="18" t="s">
        <v>98</v>
      </c>
      <c r="AM86" s="18" t="s">
        <v>98</v>
      </c>
      <c r="AN86" s="18" t="s">
        <v>98</v>
      </c>
      <c r="AO86" s="18" t="s">
        <v>150</v>
      </c>
      <c r="AP86" s="18" t="s">
        <v>17</v>
      </c>
      <c r="AQ86" s="18" t="s">
        <v>17</v>
      </c>
      <c r="AR86" s="18" t="s">
        <v>17</v>
      </c>
      <c r="AS86" s="18" t="s">
        <v>17</v>
      </c>
      <c r="AT86" s="90" t="s">
        <v>149</v>
      </c>
      <c r="AU86" s="90" t="s">
        <v>149</v>
      </c>
      <c r="AV86" s="134" t="s">
        <v>1</v>
      </c>
      <c r="AW86" s="142" t="s">
        <v>93</v>
      </c>
    </row>
    <row r="87" spans="1:49" ht="20.100000000000001" customHeight="1" x14ac:dyDescent="0.25">
      <c r="A87" s="404"/>
      <c r="B87" s="210" t="s">
        <v>3</v>
      </c>
      <c r="C87" s="114"/>
      <c r="D87" s="3"/>
      <c r="E87" s="21"/>
      <c r="F87" s="1">
        <v>11.69</v>
      </c>
      <c r="G87" s="3">
        <v>14317.33</v>
      </c>
      <c r="H87" s="21">
        <v>11287.825000000001</v>
      </c>
      <c r="I87" s="299">
        <v>1.99</v>
      </c>
      <c r="J87" s="3">
        <v>3444.19</v>
      </c>
      <c r="K87" s="115">
        <v>1224.52</v>
      </c>
      <c r="L87" s="107">
        <v>3.49</v>
      </c>
      <c r="M87" s="3">
        <v>4771.88</v>
      </c>
      <c r="N87" s="21">
        <v>6827.78</v>
      </c>
      <c r="O87" s="101"/>
      <c r="P87" s="3"/>
      <c r="Q87" s="21"/>
      <c r="R87" s="101"/>
      <c r="S87" s="3"/>
      <c r="T87" s="21"/>
      <c r="U87" s="101"/>
      <c r="V87" s="3"/>
      <c r="W87" s="21"/>
      <c r="X87" s="101"/>
      <c r="Y87" s="3"/>
      <c r="Z87" s="21"/>
      <c r="AA87" s="101"/>
      <c r="AB87" s="3"/>
      <c r="AC87" s="21"/>
      <c r="AD87" s="98"/>
      <c r="AE87" s="3"/>
      <c r="AF87" s="21"/>
      <c r="AG87" s="93"/>
      <c r="AH87" s="3"/>
      <c r="AI87" s="93"/>
      <c r="AJ87" s="3"/>
      <c r="AK87" s="21"/>
      <c r="AL87" s="21"/>
      <c r="AM87" s="21"/>
      <c r="AN87" s="21">
        <v>142503.5</v>
      </c>
      <c r="AO87" s="3">
        <v>67003.3</v>
      </c>
      <c r="AP87" s="72">
        <v>1.7011000000000001</v>
      </c>
      <c r="AQ87" s="72">
        <v>3.3938999999999999</v>
      </c>
      <c r="AR87" s="72">
        <v>4.1242999999999999</v>
      </c>
      <c r="AS87" s="72"/>
      <c r="AT87" s="98">
        <v>1.4</v>
      </c>
      <c r="AU87" s="3">
        <v>7140</v>
      </c>
      <c r="AV87" s="137">
        <v>3821.91</v>
      </c>
      <c r="AW87" s="143"/>
    </row>
    <row r="88" spans="1:49" ht="20.100000000000001" customHeight="1" x14ac:dyDescent="0.25">
      <c r="A88" s="404"/>
      <c r="B88" s="211" t="s">
        <v>4</v>
      </c>
      <c r="C88" s="116"/>
      <c r="D88" s="7"/>
      <c r="E88" s="9"/>
      <c r="F88" s="5">
        <v>22.69</v>
      </c>
      <c r="G88" s="7">
        <v>27789.58</v>
      </c>
      <c r="H88" s="9">
        <v>38832.046000000002</v>
      </c>
      <c r="I88" s="5"/>
      <c r="J88" s="7"/>
      <c r="K88" s="117"/>
      <c r="L88" s="108">
        <v>5.72</v>
      </c>
      <c r="M88" s="7">
        <v>7820.96</v>
      </c>
      <c r="N88" s="9">
        <v>17639.38</v>
      </c>
      <c r="O88" s="102">
        <v>1.37</v>
      </c>
      <c r="P88" s="7">
        <v>1054.3</v>
      </c>
      <c r="Q88" s="9">
        <v>5220.8999999999996</v>
      </c>
      <c r="R88" s="102"/>
      <c r="S88" s="7"/>
      <c r="T88" s="9"/>
      <c r="U88" s="102"/>
      <c r="V88" s="7"/>
      <c r="W88" s="9"/>
      <c r="X88" s="102"/>
      <c r="Y88" s="7"/>
      <c r="Z88" s="9"/>
      <c r="AA88" s="102"/>
      <c r="AB88" s="7"/>
      <c r="AC88" s="9"/>
      <c r="AD88" s="99"/>
      <c r="AE88" s="7"/>
      <c r="AF88" s="9"/>
      <c r="AG88" s="94"/>
      <c r="AH88" s="7"/>
      <c r="AI88" s="94"/>
      <c r="AJ88" s="7"/>
      <c r="AK88" s="9"/>
      <c r="AL88" s="9"/>
      <c r="AM88" s="9"/>
      <c r="AN88" s="9"/>
      <c r="AO88" s="7">
        <v>45204.78</v>
      </c>
      <c r="AP88" s="72">
        <v>0.80520000000000003</v>
      </c>
      <c r="AQ88" s="72">
        <v>1.62</v>
      </c>
      <c r="AR88" s="72">
        <v>3.1440000000000001</v>
      </c>
      <c r="AS88" s="72"/>
      <c r="AT88" s="99"/>
      <c r="AU88" s="7"/>
      <c r="AV88" s="138"/>
      <c r="AW88" s="143">
        <v>715</v>
      </c>
    </row>
    <row r="89" spans="1:49" ht="20.100000000000001" customHeight="1" x14ac:dyDescent="0.25">
      <c r="A89" s="404"/>
      <c r="B89" s="211" t="s">
        <v>5</v>
      </c>
      <c r="C89" s="118"/>
      <c r="D89" s="7"/>
      <c r="E89" s="9"/>
      <c r="F89" s="96">
        <v>23.47</v>
      </c>
      <c r="G89" s="7">
        <v>28744.880000000001</v>
      </c>
      <c r="H89" s="9">
        <v>38363.29</v>
      </c>
      <c r="I89" s="96"/>
      <c r="J89" s="105"/>
      <c r="K89" s="117"/>
      <c r="L89" s="108">
        <v>9.81</v>
      </c>
      <c r="M89" s="7">
        <v>13413.21</v>
      </c>
      <c r="N89" s="9">
        <v>31665.45</v>
      </c>
      <c r="O89" s="102">
        <v>1.5</v>
      </c>
      <c r="P89" s="7">
        <v>1154.3399999999999</v>
      </c>
      <c r="Q89" s="9">
        <v>3587.4</v>
      </c>
      <c r="R89" s="102"/>
      <c r="S89" s="7"/>
      <c r="T89" s="9"/>
      <c r="U89" s="102"/>
      <c r="V89" s="7"/>
      <c r="W89" s="9"/>
      <c r="X89" s="102"/>
      <c r="Y89" s="7"/>
      <c r="Z89" s="9"/>
      <c r="AA89" s="102"/>
      <c r="AB89" s="7"/>
      <c r="AC89" s="9"/>
      <c r="AD89" s="99"/>
      <c r="AE89" s="7"/>
      <c r="AF89" s="9"/>
      <c r="AG89" s="94"/>
      <c r="AH89" s="7"/>
      <c r="AI89" s="94"/>
      <c r="AJ89" s="7"/>
      <c r="AK89" s="9"/>
      <c r="AL89" s="9"/>
      <c r="AM89" s="9">
        <v>6433</v>
      </c>
      <c r="AN89" s="9"/>
      <c r="AO89" s="7">
        <v>47981.01</v>
      </c>
      <c r="AP89" s="72">
        <v>1.6584000000000001</v>
      </c>
      <c r="AQ89" s="72">
        <v>2.0337999999999998</v>
      </c>
      <c r="AR89" s="72">
        <v>2.6976</v>
      </c>
      <c r="AS89" s="72"/>
      <c r="AT89" s="99"/>
      <c r="AU89" s="7"/>
      <c r="AV89" s="138"/>
      <c r="AW89" s="143"/>
    </row>
    <row r="90" spans="1:49" ht="20.100000000000001" customHeight="1" x14ac:dyDescent="0.25">
      <c r="A90" s="404"/>
      <c r="B90" s="211" t="s">
        <v>6</v>
      </c>
      <c r="C90" s="118"/>
      <c r="D90" s="7"/>
      <c r="E90" s="9"/>
      <c r="F90" s="96">
        <v>31.11</v>
      </c>
      <c r="G90" s="7">
        <v>38101.97</v>
      </c>
      <c r="H90" s="9">
        <v>45626.19</v>
      </c>
      <c r="I90" s="96">
        <v>5.46</v>
      </c>
      <c r="J90" s="105">
        <v>9449.9</v>
      </c>
      <c r="K90" s="117">
        <v>10273.74</v>
      </c>
      <c r="L90" s="108">
        <v>16.87</v>
      </c>
      <c r="M90" s="7">
        <v>18753.91</v>
      </c>
      <c r="N90" s="9">
        <v>31642.22</v>
      </c>
      <c r="O90" s="102"/>
      <c r="P90" s="7"/>
      <c r="Q90" s="9"/>
      <c r="R90" s="102"/>
      <c r="S90" s="7"/>
      <c r="T90" s="9"/>
      <c r="U90" s="102"/>
      <c r="V90" s="7"/>
      <c r="W90" s="9"/>
      <c r="X90" s="102"/>
      <c r="Y90" s="7"/>
      <c r="Z90" s="9"/>
      <c r="AA90" s="102"/>
      <c r="AB90" s="7"/>
      <c r="AC90" s="9">
        <v>4067.05</v>
      </c>
      <c r="AD90" s="99"/>
      <c r="AE90" s="7"/>
      <c r="AF90" s="9"/>
      <c r="AG90" s="94"/>
      <c r="AH90" s="7"/>
      <c r="AI90" s="94"/>
      <c r="AJ90" s="7"/>
      <c r="AK90" s="9"/>
      <c r="AL90" s="9">
        <v>1369.3</v>
      </c>
      <c r="AM90" s="9"/>
      <c r="AN90" s="9">
        <v>145876</v>
      </c>
      <c r="AO90" s="7">
        <v>47433.599999999999</v>
      </c>
      <c r="AP90" s="72">
        <v>1.3126</v>
      </c>
      <c r="AQ90" s="72">
        <v>2.2134</v>
      </c>
      <c r="AR90" s="72">
        <v>4.6136999999999997</v>
      </c>
      <c r="AS90" s="72"/>
      <c r="AT90" s="99">
        <v>2.8</v>
      </c>
      <c r="AU90" s="7">
        <v>14560</v>
      </c>
      <c r="AV90" s="138">
        <v>8173.3</v>
      </c>
      <c r="AW90" s="143"/>
    </row>
    <row r="91" spans="1:49" ht="20.100000000000001" customHeight="1" x14ac:dyDescent="0.25">
      <c r="A91" s="404"/>
      <c r="B91" s="211" t="s">
        <v>7</v>
      </c>
      <c r="C91" s="119"/>
      <c r="D91" s="7"/>
      <c r="E91" s="9"/>
      <c r="F91" s="91">
        <v>42.07</v>
      </c>
      <c r="G91" s="7">
        <v>51525.23</v>
      </c>
      <c r="H91" s="9">
        <v>59831.83</v>
      </c>
      <c r="I91" s="96"/>
      <c r="J91" s="105"/>
      <c r="K91" s="117"/>
      <c r="L91" s="108">
        <v>16.29</v>
      </c>
      <c r="M91" s="7">
        <v>17168.63</v>
      </c>
      <c r="N91" s="9">
        <v>44276.68</v>
      </c>
      <c r="O91" s="102">
        <v>2.5</v>
      </c>
      <c r="P91" s="7">
        <v>1923.9</v>
      </c>
      <c r="Q91" s="9">
        <v>5513.36</v>
      </c>
      <c r="R91" s="102"/>
      <c r="S91" s="7"/>
      <c r="T91" s="9"/>
      <c r="U91" s="102"/>
      <c r="V91" s="7"/>
      <c r="W91" s="9"/>
      <c r="X91" s="102"/>
      <c r="Y91" s="7"/>
      <c r="Z91" s="9"/>
      <c r="AA91" s="102"/>
      <c r="AB91" s="7"/>
      <c r="AC91" s="9"/>
      <c r="AD91" s="99">
        <v>2.242</v>
      </c>
      <c r="AE91" s="7">
        <v>33266.53</v>
      </c>
      <c r="AF91" s="9">
        <v>2867.7</v>
      </c>
      <c r="AG91" s="94"/>
      <c r="AH91" s="7"/>
      <c r="AI91" s="94"/>
      <c r="AJ91" s="7"/>
      <c r="AK91" s="9"/>
      <c r="AL91" s="9"/>
      <c r="AM91" s="9"/>
      <c r="AN91" s="9"/>
      <c r="AO91" s="7">
        <v>48095.95</v>
      </c>
      <c r="AP91" s="72">
        <v>1.3029999999999999</v>
      </c>
      <c r="AQ91" s="72">
        <v>2.5720000000000001</v>
      </c>
      <c r="AR91" s="72">
        <v>3.6042999999999998</v>
      </c>
      <c r="AS91" s="72"/>
      <c r="AT91" s="99"/>
      <c r="AU91" s="7"/>
      <c r="AV91" s="138"/>
      <c r="AW91" s="143"/>
    </row>
    <row r="92" spans="1:49" ht="20.100000000000001" customHeight="1" x14ac:dyDescent="0.25">
      <c r="A92" s="404"/>
      <c r="B92" s="211" t="s">
        <v>8</v>
      </c>
      <c r="C92" s="119"/>
      <c r="D92" s="7"/>
      <c r="E92" s="9"/>
      <c r="F92" s="91">
        <v>36.72</v>
      </c>
      <c r="G92" s="7">
        <v>44972.82</v>
      </c>
      <c r="H92" s="9">
        <v>50398.07</v>
      </c>
      <c r="I92" s="96"/>
      <c r="J92" s="105"/>
      <c r="K92" s="117"/>
      <c r="L92" s="108">
        <v>13.79</v>
      </c>
      <c r="M92" s="7">
        <v>14575.3</v>
      </c>
      <c r="N92" s="9">
        <v>12989.83</v>
      </c>
      <c r="O92" s="102">
        <v>1.1499999999999999</v>
      </c>
      <c r="P92" s="7">
        <v>884.99</v>
      </c>
      <c r="Q92" s="9">
        <v>4863.1099999999997</v>
      </c>
      <c r="R92" s="102"/>
      <c r="S92" s="7"/>
      <c r="T92" s="9"/>
      <c r="U92" s="102"/>
      <c r="V92" s="7"/>
      <c r="W92" s="9"/>
      <c r="X92" s="102"/>
      <c r="Y92" s="7"/>
      <c r="Z92" s="9"/>
      <c r="AA92" s="102"/>
      <c r="AB92" s="7"/>
      <c r="AC92" s="9"/>
      <c r="AD92" s="99"/>
      <c r="AE92" s="7"/>
      <c r="AF92" s="9"/>
      <c r="AG92" s="94"/>
      <c r="AH92" s="7"/>
      <c r="AI92" s="94"/>
      <c r="AJ92" s="7"/>
      <c r="AK92" s="9"/>
      <c r="AL92" s="9">
        <v>3519.9</v>
      </c>
      <c r="AM92" s="9">
        <v>12323</v>
      </c>
      <c r="AN92" s="9"/>
      <c r="AO92" s="7">
        <v>58647.78</v>
      </c>
      <c r="AP92" s="72">
        <v>1.5118</v>
      </c>
      <c r="AQ92" s="72">
        <v>3.6076999999999999</v>
      </c>
      <c r="AR92" s="72">
        <v>4.4543999999999997</v>
      </c>
      <c r="AS92" s="72"/>
      <c r="AT92" s="99">
        <v>1.62</v>
      </c>
      <c r="AU92" s="7">
        <v>8424</v>
      </c>
      <c r="AV92" s="138">
        <v>4021.31</v>
      </c>
      <c r="AW92" s="143">
        <v>307</v>
      </c>
    </row>
    <row r="93" spans="1:49" ht="20.100000000000001" customHeight="1" x14ac:dyDescent="0.25">
      <c r="A93" s="404"/>
      <c r="B93" s="211" t="s">
        <v>9</v>
      </c>
      <c r="C93" s="119"/>
      <c r="D93" s="7"/>
      <c r="E93" s="9"/>
      <c r="F93" s="91">
        <v>43.3</v>
      </c>
      <c r="G93" s="7">
        <v>53031.68</v>
      </c>
      <c r="H93" s="9">
        <v>61121.81</v>
      </c>
      <c r="I93" s="96">
        <v>2.2999999999999998</v>
      </c>
      <c r="J93" s="105">
        <v>3980.73</v>
      </c>
      <c r="K93" s="117">
        <v>5513.36</v>
      </c>
      <c r="L93" s="108">
        <v>10.67</v>
      </c>
      <c r="M93" s="7">
        <v>12530.88</v>
      </c>
      <c r="N93" s="9">
        <v>32831.17</v>
      </c>
      <c r="O93" s="102"/>
      <c r="P93" s="7"/>
      <c r="Q93" s="9"/>
      <c r="R93" s="102"/>
      <c r="S93" s="7"/>
      <c r="T93" s="9"/>
      <c r="U93" s="102"/>
      <c r="V93" s="7"/>
      <c r="W93" s="9"/>
      <c r="X93" s="102"/>
      <c r="Y93" s="7"/>
      <c r="Z93" s="9"/>
      <c r="AA93" s="102"/>
      <c r="AB93" s="7"/>
      <c r="AC93" s="9"/>
      <c r="AD93" s="99"/>
      <c r="AE93" s="7"/>
      <c r="AF93" s="9"/>
      <c r="AG93" s="94"/>
      <c r="AH93" s="7"/>
      <c r="AI93" s="94"/>
      <c r="AJ93" s="7"/>
      <c r="AK93" s="9"/>
      <c r="AL93" s="9"/>
      <c r="AM93" s="9"/>
      <c r="AN93" s="9"/>
      <c r="AO93" s="7">
        <v>72911.759999999995</v>
      </c>
      <c r="AP93" s="72">
        <v>1.591</v>
      </c>
      <c r="AQ93" s="72">
        <v>2.8540000000000001</v>
      </c>
      <c r="AR93" s="72">
        <v>7.0724999999999998</v>
      </c>
      <c r="AS93" s="72"/>
      <c r="AT93" s="99">
        <v>1.38</v>
      </c>
      <c r="AU93" s="7">
        <v>7176</v>
      </c>
      <c r="AV93" s="138">
        <v>3728.85</v>
      </c>
      <c r="AW93" s="143"/>
    </row>
    <row r="94" spans="1:49" ht="20.100000000000001" customHeight="1" x14ac:dyDescent="0.25">
      <c r="A94" s="404"/>
      <c r="B94" s="211" t="s">
        <v>10</v>
      </c>
      <c r="C94" s="119"/>
      <c r="D94" s="7"/>
      <c r="E94" s="9"/>
      <c r="F94" s="91">
        <v>34.93</v>
      </c>
      <c r="G94" s="7">
        <v>42780.52</v>
      </c>
      <c r="H94" s="9">
        <v>51244.34</v>
      </c>
      <c r="I94" s="96"/>
      <c r="J94" s="105"/>
      <c r="K94" s="117"/>
      <c r="L94" s="108">
        <v>18.11</v>
      </c>
      <c r="M94" s="7">
        <v>21029.26</v>
      </c>
      <c r="N94" s="9">
        <v>47317.53</v>
      </c>
      <c r="O94" s="102">
        <v>1.78</v>
      </c>
      <c r="P94" s="7">
        <v>1369.82</v>
      </c>
      <c r="Q94" s="9">
        <v>6306.64</v>
      </c>
      <c r="R94" s="102"/>
      <c r="S94" s="7"/>
      <c r="T94" s="9"/>
      <c r="U94" s="102"/>
      <c r="V94" s="7"/>
      <c r="W94" s="9"/>
      <c r="X94" s="102"/>
      <c r="Y94" s="7"/>
      <c r="Z94" s="9"/>
      <c r="AA94" s="102"/>
      <c r="AB94" s="7"/>
      <c r="AC94" s="9"/>
      <c r="AD94" s="99"/>
      <c r="AE94" s="7"/>
      <c r="AF94" s="9"/>
      <c r="AG94" s="94"/>
      <c r="AH94" s="7"/>
      <c r="AI94" s="94"/>
      <c r="AJ94" s="7"/>
      <c r="AK94" s="9"/>
      <c r="AL94" s="9"/>
      <c r="AM94" s="9"/>
      <c r="AN94" s="9">
        <v>198840.5</v>
      </c>
      <c r="AO94" s="7">
        <v>85715.17</v>
      </c>
      <c r="AP94" s="72">
        <v>2.3791000000000002</v>
      </c>
      <c r="AQ94" s="72">
        <v>3.8866999999999998</v>
      </c>
      <c r="AR94" s="72">
        <v>4.2142999999999997</v>
      </c>
      <c r="AS94" s="72"/>
      <c r="AT94" s="99">
        <v>1.66</v>
      </c>
      <c r="AU94" s="7">
        <v>8632</v>
      </c>
      <c r="AV94" s="138">
        <v>4021.31</v>
      </c>
      <c r="AW94" s="143"/>
    </row>
    <row r="95" spans="1:49" ht="20.100000000000001" customHeight="1" x14ac:dyDescent="0.25">
      <c r="A95" s="404"/>
      <c r="B95" s="211" t="s">
        <v>11</v>
      </c>
      <c r="C95" s="119"/>
      <c r="D95" s="7"/>
      <c r="E95" s="9"/>
      <c r="F95" s="91">
        <v>40.909999999999997</v>
      </c>
      <c r="G95" s="7">
        <v>50104.52</v>
      </c>
      <c r="H95" s="9">
        <v>61653.85</v>
      </c>
      <c r="I95" s="96">
        <v>6.49</v>
      </c>
      <c r="J95" s="105">
        <v>11232.57</v>
      </c>
      <c r="K95" s="117">
        <v>11527.54</v>
      </c>
      <c r="L95" s="108">
        <v>13.22</v>
      </c>
      <c r="M95" s="7">
        <v>14122.64</v>
      </c>
      <c r="N95" s="9">
        <v>33178.559999999998</v>
      </c>
      <c r="O95" s="102">
        <v>2.1</v>
      </c>
      <c r="P95" s="7">
        <v>1616.08</v>
      </c>
      <c r="Q95" s="9">
        <v>4863.1099999999997</v>
      </c>
      <c r="R95" s="102"/>
      <c r="S95" s="7"/>
      <c r="T95" s="9"/>
      <c r="U95" s="102"/>
      <c r="V95" s="7"/>
      <c r="W95" s="9"/>
      <c r="X95" s="102"/>
      <c r="Y95" s="7"/>
      <c r="Z95" s="9"/>
      <c r="AA95" s="102"/>
      <c r="AB95" s="7"/>
      <c r="AC95" s="9"/>
      <c r="AD95" s="99"/>
      <c r="AE95" s="7"/>
      <c r="AF95" s="9"/>
      <c r="AG95" s="94"/>
      <c r="AH95" s="7"/>
      <c r="AI95" s="94"/>
      <c r="AJ95" s="7"/>
      <c r="AK95" s="9"/>
      <c r="AL95" s="9">
        <v>2890.5</v>
      </c>
      <c r="AM95" s="9"/>
      <c r="AN95" s="9"/>
      <c r="AO95" s="7">
        <v>66726.509999999995</v>
      </c>
      <c r="AP95" s="72">
        <v>1.3149</v>
      </c>
      <c r="AQ95" s="72">
        <v>3.8820999999999999</v>
      </c>
      <c r="AR95" s="72">
        <v>4.7430000000000003</v>
      </c>
      <c r="AS95" s="72"/>
      <c r="AT95" s="99">
        <v>1.64</v>
      </c>
      <c r="AU95" s="7">
        <v>8528</v>
      </c>
      <c r="AV95" s="138">
        <v>4313.7700000000004</v>
      </c>
      <c r="AW95" s="143">
        <v>378</v>
      </c>
    </row>
    <row r="96" spans="1:49" ht="20.100000000000001" customHeight="1" x14ac:dyDescent="0.25">
      <c r="A96" s="404"/>
      <c r="B96" s="211" t="s">
        <v>12</v>
      </c>
      <c r="C96" s="119"/>
      <c r="D96" s="7"/>
      <c r="E96" s="9"/>
      <c r="F96" s="91">
        <v>19.86</v>
      </c>
      <c r="G96" s="7">
        <v>24323.54</v>
      </c>
      <c r="H96" s="9">
        <v>34719.74</v>
      </c>
      <c r="I96" s="96">
        <v>5.72</v>
      </c>
      <c r="J96" s="105">
        <v>9899.89</v>
      </c>
      <c r="K96" s="117">
        <v>10603.59</v>
      </c>
      <c r="L96" s="108">
        <v>13.11</v>
      </c>
      <c r="M96" s="7">
        <v>17925.3</v>
      </c>
      <c r="N96" s="9">
        <v>38413.019999999997</v>
      </c>
      <c r="O96" s="102">
        <v>1.4</v>
      </c>
      <c r="P96" s="7">
        <v>1077.3800000000001</v>
      </c>
      <c r="Q96" s="9">
        <v>4701.33</v>
      </c>
      <c r="R96" s="102"/>
      <c r="S96" s="7"/>
      <c r="T96" s="9"/>
      <c r="U96" s="102"/>
      <c r="V96" s="7"/>
      <c r="W96" s="9"/>
      <c r="X96" s="102"/>
      <c r="Y96" s="7"/>
      <c r="Z96" s="9"/>
      <c r="AA96" s="102"/>
      <c r="AB96" s="7"/>
      <c r="AC96" s="9"/>
      <c r="AD96" s="99"/>
      <c r="AE96" s="7"/>
      <c r="AF96" s="9"/>
      <c r="AG96" s="94"/>
      <c r="AH96" s="7"/>
      <c r="AI96" s="94"/>
      <c r="AJ96" s="7"/>
      <c r="AK96" s="9"/>
      <c r="AL96" s="9"/>
      <c r="AM96" s="9">
        <v>14737</v>
      </c>
      <c r="AN96" s="9"/>
      <c r="AO96" s="7">
        <v>46176.83</v>
      </c>
      <c r="AP96" s="72">
        <v>1.1316999999999999</v>
      </c>
      <c r="AQ96" s="72">
        <v>1.7363</v>
      </c>
      <c r="AR96" s="72">
        <v>3.7722000000000002</v>
      </c>
      <c r="AS96" s="72"/>
      <c r="AT96" s="99">
        <v>1.78</v>
      </c>
      <c r="AU96" s="7">
        <v>8188</v>
      </c>
      <c r="AV96" s="138">
        <v>3794.19</v>
      </c>
      <c r="AW96" s="143"/>
    </row>
    <row r="97" spans="1:49" ht="20.100000000000001" customHeight="1" x14ac:dyDescent="0.25">
      <c r="A97" s="404"/>
      <c r="B97" s="211" t="s">
        <v>13</v>
      </c>
      <c r="C97" s="119"/>
      <c r="D97" s="7"/>
      <c r="E97" s="9"/>
      <c r="F97" s="91">
        <v>25.99</v>
      </c>
      <c r="G97" s="7">
        <v>31831.25</v>
      </c>
      <c r="H97" s="9">
        <v>37750.42</v>
      </c>
      <c r="I97" s="96">
        <v>4.84</v>
      </c>
      <c r="J97" s="105">
        <v>8376.83</v>
      </c>
      <c r="K97" s="117">
        <v>11319.18</v>
      </c>
      <c r="L97" s="108">
        <v>5.52</v>
      </c>
      <c r="M97" s="7">
        <v>6110.02</v>
      </c>
      <c r="N97" s="9">
        <v>17021.189999999999</v>
      </c>
      <c r="O97" s="102"/>
      <c r="P97" s="7"/>
      <c r="Q97" s="9"/>
      <c r="R97" s="102"/>
      <c r="S97" s="7"/>
      <c r="T97" s="9"/>
      <c r="U97" s="102"/>
      <c r="V97" s="7"/>
      <c r="W97" s="9"/>
      <c r="X97" s="102"/>
      <c r="Y97" s="7"/>
      <c r="Z97" s="9"/>
      <c r="AA97" s="102"/>
      <c r="AB97" s="7"/>
      <c r="AC97" s="9">
        <v>4928.45</v>
      </c>
      <c r="AD97" s="99">
        <v>2.3650000000000002</v>
      </c>
      <c r="AE97" s="7">
        <v>31480.37</v>
      </c>
      <c r="AF97" s="9">
        <v>5823.12</v>
      </c>
      <c r="AG97" s="94"/>
      <c r="AH97" s="7"/>
      <c r="AI97" s="94"/>
      <c r="AJ97" s="7"/>
      <c r="AK97" s="9"/>
      <c r="AL97" s="9"/>
      <c r="AM97" s="9"/>
      <c r="AN97" s="301"/>
      <c r="AO97" s="7">
        <v>48167.96</v>
      </c>
      <c r="AP97" s="72">
        <v>1.6720999999999999</v>
      </c>
      <c r="AQ97" s="72">
        <v>2.1349</v>
      </c>
      <c r="AR97" s="72">
        <v>3.7075999999999998</v>
      </c>
      <c r="AS97" s="72"/>
      <c r="AT97" s="99"/>
      <c r="AU97" s="7"/>
      <c r="AV97" s="138"/>
      <c r="AW97" s="143"/>
    </row>
    <row r="98" spans="1:49" ht="20.100000000000001" customHeight="1" thickBot="1" x14ac:dyDescent="0.3">
      <c r="A98" s="404"/>
      <c r="B98" s="212" t="s">
        <v>14</v>
      </c>
      <c r="C98" s="120"/>
      <c r="D98" s="88"/>
      <c r="E98" s="89"/>
      <c r="F98" s="92">
        <v>10.28</v>
      </c>
      <c r="G98" s="88">
        <v>12590.43</v>
      </c>
      <c r="H98" s="89">
        <v>16793.099999999999</v>
      </c>
      <c r="I98" s="97">
        <v>3.43</v>
      </c>
      <c r="J98" s="105">
        <v>5936.47</v>
      </c>
      <c r="K98" s="121">
        <v>4540.2</v>
      </c>
      <c r="L98" s="109">
        <v>1.6</v>
      </c>
      <c r="M98" s="88">
        <v>2187.6799999999998</v>
      </c>
      <c r="N98" s="89">
        <v>5448.02</v>
      </c>
      <c r="O98" s="103"/>
      <c r="P98" s="88"/>
      <c r="Q98" s="89"/>
      <c r="R98" s="103"/>
      <c r="S98" s="88"/>
      <c r="T98" s="89"/>
      <c r="U98" s="103"/>
      <c r="V98" s="88"/>
      <c r="W98" s="89"/>
      <c r="X98" s="103"/>
      <c r="Y98" s="88"/>
      <c r="Z98" s="89"/>
      <c r="AA98" s="103"/>
      <c r="AB98" s="88"/>
      <c r="AC98" s="89"/>
      <c r="AD98" s="100"/>
      <c r="AE98" s="88"/>
      <c r="AF98" s="89"/>
      <c r="AG98" s="95"/>
      <c r="AH98" s="62"/>
      <c r="AI98" s="95"/>
      <c r="AJ98" s="88"/>
      <c r="AK98" s="89"/>
      <c r="AL98" s="65">
        <v>3669.6</v>
      </c>
      <c r="AM98" s="65"/>
      <c r="AN98" s="65">
        <v>151290.5</v>
      </c>
      <c r="AO98" s="62">
        <v>39104.42</v>
      </c>
      <c r="AP98" s="73">
        <v>0.97899999999999998</v>
      </c>
      <c r="AQ98" s="73">
        <v>2.1160000000000001</v>
      </c>
      <c r="AR98" s="73"/>
      <c r="AS98" s="73"/>
      <c r="AT98" s="100">
        <v>15.38</v>
      </c>
      <c r="AU98" s="88">
        <v>67672</v>
      </c>
      <c r="AV98" s="139">
        <v>21593.41</v>
      </c>
      <c r="AW98" s="144">
        <v>464</v>
      </c>
    </row>
    <row r="99" spans="1:49" ht="20.100000000000001" customHeight="1" thickBot="1" x14ac:dyDescent="0.3">
      <c r="A99" s="404"/>
      <c r="B99" s="213" t="s">
        <v>15</v>
      </c>
      <c r="C99" s="122">
        <f t="shared" ref="C99:V99" si="18">SUM(C87:C98)</f>
        <v>0</v>
      </c>
      <c r="D99" s="124">
        <f t="shared" si="18"/>
        <v>0</v>
      </c>
      <c r="E99" s="124">
        <f t="shared" si="18"/>
        <v>0</v>
      </c>
      <c r="F99" s="123">
        <f t="shared" si="18"/>
        <v>343.02</v>
      </c>
      <c r="G99" s="124">
        <f t="shared" si="18"/>
        <v>420113.75</v>
      </c>
      <c r="H99" s="124">
        <f t="shared" si="18"/>
        <v>507622.51099999988</v>
      </c>
      <c r="I99" s="123">
        <f t="shared" si="18"/>
        <v>30.23</v>
      </c>
      <c r="J99" s="124">
        <f t="shared" si="18"/>
        <v>52320.58</v>
      </c>
      <c r="K99" s="157">
        <f t="shared" si="18"/>
        <v>55002.13</v>
      </c>
      <c r="L99" s="158">
        <f t="shared" si="18"/>
        <v>128.19999999999999</v>
      </c>
      <c r="M99" s="67">
        <f t="shared" si="18"/>
        <v>150409.66999999998</v>
      </c>
      <c r="N99" s="67">
        <f t="shared" si="18"/>
        <v>319250.83</v>
      </c>
      <c r="O99" s="159">
        <f t="shared" si="18"/>
        <v>11.799999999999999</v>
      </c>
      <c r="P99" s="67">
        <f t="shared" si="18"/>
        <v>9080.81</v>
      </c>
      <c r="Q99" s="67">
        <f t="shared" si="18"/>
        <v>35055.85</v>
      </c>
      <c r="R99" s="69">
        <f t="shared" si="18"/>
        <v>0</v>
      </c>
      <c r="S99" s="67">
        <f t="shared" si="18"/>
        <v>0</v>
      </c>
      <c r="T99" s="67">
        <f t="shared" si="18"/>
        <v>0</v>
      </c>
      <c r="U99" s="69">
        <f t="shared" si="18"/>
        <v>0</v>
      </c>
      <c r="V99" s="67">
        <f t="shared" si="18"/>
        <v>0</v>
      </c>
      <c r="W99" s="67">
        <f>SUM(W87:W98)</f>
        <v>0</v>
      </c>
      <c r="X99" s="69">
        <f t="shared" ref="X99:AD99" si="19">SUM(X87:X98)</f>
        <v>0</v>
      </c>
      <c r="Y99" s="67">
        <f t="shared" si="19"/>
        <v>0</v>
      </c>
      <c r="Z99" s="67">
        <f t="shared" si="19"/>
        <v>0</v>
      </c>
      <c r="AA99" s="69">
        <f t="shared" si="19"/>
        <v>0</v>
      </c>
      <c r="AB99" s="67">
        <f t="shared" si="19"/>
        <v>0</v>
      </c>
      <c r="AC99" s="67">
        <f t="shared" si="19"/>
        <v>8995.5</v>
      </c>
      <c r="AD99" s="68">
        <f t="shared" si="19"/>
        <v>4.6070000000000002</v>
      </c>
      <c r="AE99" s="67">
        <f>SUM(AE87:AE98)</f>
        <v>64746.899999999994</v>
      </c>
      <c r="AF99" s="67">
        <f>SUM(AF87:AF98)</f>
        <v>8690.82</v>
      </c>
      <c r="AG99" s="68">
        <f t="shared" ref="AG99:AK99" si="20">SUM(AG87:AG98)</f>
        <v>0</v>
      </c>
      <c r="AH99" s="67">
        <f t="shared" si="20"/>
        <v>0</v>
      </c>
      <c r="AI99" s="68">
        <f t="shared" si="20"/>
        <v>0</v>
      </c>
      <c r="AJ99" s="173">
        <f t="shared" si="20"/>
        <v>0</v>
      </c>
      <c r="AK99" s="174">
        <f t="shared" si="20"/>
        <v>0</v>
      </c>
      <c r="AL99" s="71">
        <f>SUM(AL87:AL98)</f>
        <v>11449.3</v>
      </c>
      <c r="AM99" s="71">
        <f>SUM(AM87:AM98)</f>
        <v>33493</v>
      </c>
      <c r="AN99" s="71">
        <f t="shared" ref="AN99:AP99" si="21">SUM(AN87:AN98)</f>
        <v>638510.5</v>
      </c>
      <c r="AO99" s="67">
        <f t="shared" si="21"/>
        <v>673169.07</v>
      </c>
      <c r="AP99" s="74">
        <f t="shared" si="21"/>
        <v>17.3599</v>
      </c>
      <c r="AQ99" s="74">
        <f>SUM(AQ87:AQ98)</f>
        <v>32.050800000000002</v>
      </c>
      <c r="AR99" s="74">
        <f t="shared" ref="AR99:AU99" si="22">SUM(AR87:AR98)</f>
        <v>46.1479</v>
      </c>
      <c r="AS99" s="74">
        <f t="shared" si="22"/>
        <v>0</v>
      </c>
      <c r="AT99" s="68">
        <f t="shared" si="22"/>
        <v>27.66</v>
      </c>
      <c r="AU99" s="67">
        <f t="shared" si="22"/>
        <v>130320</v>
      </c>
      <c r="AV99" s="140">
        <f>SUM(AV87:AV98)</f>
        <v>53468.05</v>
      </c>
      <c r="AW99" s="136">
        <f t="shared" ref="AW99" si="23">SUM(AW87:AW98)</f>
        <v>1864</v>
      </c>
    </row>
    <row r="100" spans="1:49" ht="15.75" thickBot="1" x14ac:dyDescent="0.3">
      <c r="A100" s="404"/>
      <c r="B100" s="200"/>
      <c r="C100" s="156"/>
      <c r="D100" s="380">
        <f>SUM(E99+D99)</f>
        <v>0</v>
      </c>
      <c r="E100" s="381"/>
      <c r="F100" s="156"/>
      <c r="G100" s="380">
        <f>SUM(H99+G99)</f>
        <v>927736.26099999994</v>
      </c>
      <c r="H100" s="381"/>
      <c r="I100" s="156"/>
      <c r="J100" s="380">
        <f>SUM(K99+J99)</f>
        <v>107322.70999999999</v>
      </c>
      <c r="K100" s="381"/>
      <c r="L100" s="160"/>
      <c r="M100" s="380">
        <f>SUM(N99+M99)</f>
        <v>469660.5</v>
      </c>
      <c r="N100" s="381"/>
      <c r="O100" s="160"/>
      <c r="P100" s="380">
        <f>SUM(Q99+P99)</f>
        <v>44136.659999999996</v>
      </c>
      <c r="Q100" s="381"/>
      <c r="R100" s="160"/>
      <c r="S100" s="380">
        <f>SUM(T99+S99)</f>
        <v>0</v>
      </c>
      <c r="T100" s="381"/>
      <c r="U100" s="160"/>
      <c r="V100" s="380">
        <f>SUM(W99+V99)</f>
        <v>0</v>
      </c>
      <c r="W100" s="381"/>
      <c r="X100" s="160"/>
      <c r="Y100" s="380">
        <f>SUM(Z99+Y99)</f>
        <v>0</v>
      </c>
      <c r="Z100" s="381"/>
      <c r="AA100" s="160"/>
      <c r="AB100" s="380">
        <f>SUM(AC99+AB99)</f>
        <v>8995.5</v>
      </c>
      <c r="AC100" s="381"/>
      <c r="AD100" s="162"/>
      <c r="AE100" s="380">
        <f>SUM(AF99+AE99)</f>
        <v>73437.72</v>
      </c>
      <c r="AF100" s="381"/>
      <c r="AG100" s="161"/>
      <c r="AH100" s="124"/>
      <c r="AI100" s="169"/>
      <c r="AJ100" s="171"/>
      <c r="AK100" s="172"/>
      <c r="AL100" s="170"/>
      <c r="AM100" s="127"/>
      <c r="AN100" s="127"/>
      <c r="AO100" s="124"/>
      <c r="AP100" s="128"/>
      <c r="AQ100" s="128"/>
      <c r="AR100" s="129"/>
      <c r="AS100" s="130"/>
      <c r="AT100" s="126"/>
      <c r="AU100" s="124"/>
      <c r="AV100" s="125"/>
      <c r="AW100" s="148"/>
    </row>
    <row r="101" spans="1:49" ht="21.75" thickBot="1" x14ac:dyDescent="0.3">
      <c r="A101" s="411"/>
      <c r="B101" s="192"/>
      <c r="C101" s="182"/>
      <c r="D101" s="193"/>
      <c r="E101" s="177"/>
      <c r="F101" s="177">
        <v>1224.75</v>
      </c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54"/>
      <c r="AM101" s="154"/>
      <c r="AN101" s="154"/>
      <c r="AO101" s="151"/>
      <c r="AP101" s="155"/>
      <c r="AQ101" s="155"/>
      <c r="AR101" s="155"/>
      <c r="AS101" s="155"/>
      <c r="AT101" s="152"/>
      <c r="AU101" s="151"/>
      <c r="AV101" s="151"/>
      <c r="AW101" s="133"/>
    </row>
    <row r="102" spans="1:49" ht="21" x14ac:dyDescent="0.35">
      <c r="A102" s="412"/>
      <c r="B102" s="358" t="s">
        <v>212</v>
      </c>
      <c r="C102" s="356"/>
      <c r="D102" s="356"/>
      <c r="E102" s="356"/>
      <c r="F102" s="357"/>
      <c r="G102" s="177"/>
      <c r="H102" s="358" t="s">
        <v>228</v>
      </c>
      <c r="I102" s="356"/>
      <c r="J102" s="356"/>
      <c r="K102" s="356"/>
      <c r="L102" s="359"/>
      <c r="M102" s="236"/>
      <c r="N102" s="237"/>
      <c r="O102" s="177"/>
      <c r="P102" s="360" t="s">
        <v>231</v>
      </c>
      <c r="Q102" s="361"/>
      <c r="R102" s="362"/>
      <c r="S102" s="177"/>
      <c r="T102" s="363" t="s">
        <v>238</v>
      </c>
      <c r="U102" s="364"/>
      <c r="V102" s="365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54"/>
      <c r="AM102" s="154"/>
      <c r="AN102" s="154"/>
      <c r="AO102" s="151"/>
      <c r="AP102" s="155"/>
      <c r="AQ102" s="155"/>
      <c r="AR102" s="155"/>
      <c r="AS102" s="155"/>
      <c r="AT102" s="152"/>
      <c r="AU102" s="151"/>
      <c r="AV102" s="151"/>
      <c r="AW102" s="133"/>
    </row>
    <row r="103" spans="1:49" ht="30.75" thickBot="1" x14ac:dyDescent="0.3">
      <c r="A103" s="412"/>
      <c r="B103" s="217" t="s">
        <v>263</v>
      </c>
      <c r="C103" s="214"/>
      <c r="D103" s="214"/>
      <c r="E103" s="214"/>
      <c r="F103" s="218"/>
      <c r="G103" s="177"/>
      <c r="H103" s="217" t="s">
        <v>263</v>
      </c>
      <c r="I103" s="223"/>
      <c r="J103" s="223"/>
      <c r="K103" s="223"/>
      <c r="L103" s="223"/>
      <c r="M103" s="255"/>
      <c r="N103" s="256"/>
      <c r="O103" s="177"/>
      <c r="P103" s="366" t="s">
        <v>263</v>
      </c>
      <c r="Q103" s="367"/>
      <c r="R103" s="368"/>
      <c r="S103" s="267"/>
      <c r="T103" s="86" t="s">
        <v>239</v>
      </c>
      <c r="U103" s="20" t="s">
        <v>240</v>
      </c>
      <c r="V103" s="14" t="s">
        <v>266</v>
      </c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54"/>
      <c r="AM103" s="154"/>
      <c r="AN103" s="154"/>
      <c r="AO103" s="151"/>
      <c r="AP103" s="155"/>
      <c r="AQ103" s="155"/>
      <c r="AR103" s="155"/>
      <c r="AS103" s="155"/>
      <c r="AT103" s="152"/>
      <c r="AU103" s="151"/>
      <c r="AV103" s="151"/>
      <c r="AW103" s="133"/>
    </row>
    <row r="104" spans="1:49" ht="21.75" thickBot="1" x14ac:dyDescent="0.3">
      <c r="A104" s="412"/>
      <c r="B104" s="219" t="s">
        <v>0</v>
      </c>
      <c r="C104" s="220" t="s">
        <v>213</v>
      </c>
      <c r="D104" s="220" t="s">
        <v>214</v>
      </c>
      <c r="E104" s="220" t="s">
        <v>170</v>
      </c>
      <c r="F104" s="221" t="s">
        <v>215</v>
      </c>
      <c r="G104" s="177"/>
      <c r="H104" s="244" t="s">
        <v>0</v>
      </c>
      <c r="I104" s="246" t="s">
        <v>224</v>
      </c>
      <c r="J104" s="259" t="s">
        <v>225</v>
      </c>
      <c r="K104" s="246" t="s">
        <v>226</v>
      </c>
      <c r="L104" s="247" t="s">
        <v>229</v>
      </c>
      <c r="M104" s="262" t="s">
        <v>227</v>
      </c>
      <c r="N104" s="247" t="s">
        <v>225</v>
      </c>
      <c r="O104" s="177"/>
      <c r="P104" s="277" t="s">
        <v>0</v>
      </c>
      <c r="Q104" s="273" t="s">
        <v>224</v>
      </c>
      <c r="R104" s="247" t="s">
        <v>225</v>
      </c>
      <c r="S104" s="177"/>
      <c r="T104" s="290" t="s">
        <v>151</v>
      </c>
      <c r="U104" s="291" t="s">
        <v>151</v>
      </c>
      <c r="V104" s="292" t="s">
        <v>1</v>
      </c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54"/>
      <c r="AM104" s="154"/>
      <c r="AN104" s="154"/>
      <c r="AO104" s="151"/>
      <c r="AP104" s="155"/>
      <c r="AQ104" s="155"/>
      <c r="AR104" s="155"/>
      <c r="AS104" s="155"/>
      <c r="AT104" s="152"/>
      <c r="AU104" s="151"/>
      <c r="AV104" s="151"/>
      <c r="AW104" s="133"/>
    </row>
    <row r="105" spans="1:49" ht="21" x14ac:dyDescent="0.25">
      <c r="A105" s="412"/>
      <c r="B105" s="222"/>
      <c r="C105" s="223"/>
      <c r="D105" s="224" t="s">
        <v>2</v>
      </c>
      <c r="E105" s="224" t="s">
        <v>1</v>
      </c>
      <c r="F105" s="225"/>
      <c r="G105" s="177"/>
      <c r="H105" s="245"/>
      <c r="I105" s="369" t="s">
        <v>230</v>
      </c>
      <c r="J105" s="370"/>
      <c r="K105" s="371" t="s">
        <v>230</v>
      </c>
      <c r="L105" s="370"/>
      <c r="M105" s="372" t="s">
        <v>230</v>
      </c>
      <c r="N105" s="370"/>
      <c r="O105" s="177"/>
      <c r="P105" s="278"/>
      <c r="Q105" s="373" t="s">
        <v>232</v>
      </c>
      <c r="R105" s="374"/>
      <c r="S105" s="177"/>
      <c r="T105" s="101"/>
      <c r="U105" s="3"/>
      <c r="V105" s="21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54"/>
      <c r="AM105" s="154"/>
      <c r="AN105" s="154"/>
      <c r="AO105" s="151"/>
      <c r="AP105" s="155"/>
      <c r="AQ105" s="155"/>
      <c r="AR105" s="155"/>
      <c r="AS105" s="155"/>
      <c r="AT105" s="152"/>
      <c r="AU105" s="151"/>
      <c r="AV105" s="151"/>
      <c r="AW105" s="133"/>
    </row>
    <row r="106" spans="1:49" ht="21" x14ac:dyDescent="0.25">
      <c r="A106" s="412"/>
      <c r="B106" s="215" t="s">
        <v>3</v>
      </c>
      <c r="C106" s="214">
        <v>39.229999999999997</v>
      </c>
      <c r="D106" s="226">
        <f>F101*C106</f>
        <v>48046.942499999997</v>
      </c>
      <c r="E106" s="226">
        <v>155833.5</v>
      </c>
      <c r="F106" s="218"/>
      <c r="G106" s="177"/>
      <c r="H106" s="245" t="s">
        <v>245</v>
      </c>
      <c r="I106" s="248">
        <v>2.4500000000000002</v>
      </c>
      <c r="J106" s="260">
        <v>8033.79</v>
      </c>
      <c r="K106" s="266">
        <v>2.23</v>
      </c>
      <c r="L106" s="238">
        <v>446</v>
      </c>
      <c r="M106" s="251">
        <v>20.170000000000002</v>
      </c>
      <c r="N106" s="238">
        <v>70849.740000000005</v>
      </c>
      <c r="O106" s="177"/>
      <c r="P106" s="278" t="s">
        <v>245</v>
      </c>
      <c r="Q106" s="274">
        <v>1.49</v>
      </c>
      <c r="R106" s="268">
        <v>23799.360000000001</v>
      </c>
      <c r="S106" s="177"/>
      <c r="T106" s="102"/>
      <c r="U106" s="7"/>
      <c r="V106" s="9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54"/>
      <c r="AM106" s="154"/>
      <c r="AN106" s="154"/>
      <c r="AO106" s="151"/>
      <c r="AP106" s="155"/>
      <c r="AQ106" s="155"/>
      <c r="AR106" s="155"/>
      <c r="AS106" s="155"/>
      <c r="AT106" s="152"/>
      <c r="AU106" s="151"/>
      <c r="AV106" s="151"/>
      <c r="AW106" s="133"/>
    </row>
    <row r="107" spans="1:49" ht="21" x14ac:dyDescent="0.25">
      <c r="A107" s="412"/>
      <c r="B107" s="215" t="s">
        <v>4</v>
      </c>
      <c r="C107" s="214">
        <v>30.7</v>
      </c>
      <c r="D107" s="226">
        <f>F101*C107</f>
        <v>37599.824999999997</v>
      </c>
      <c r="E107" s="226">
        <v>124050.4</v>
      </c>
      <c r="F107" s="218"/>
      <c r="G107" s="177"/>
      <c r="H107" s="245" t="s">
        <v>4</v>
      </c>
      <c r="I107" s="248">
        <v>1.79</v>
      </c>
      <c r="J107" s="260">
        <v>5869.58</v>
      </c>
      <c r="K107" s="266">
        <v>1.5</v>
      </c>
      <c r="L107" s="238">
        <v>300</v>
      </c>
      <c r="M107" s="251">
        <v>13.85</v>
      </c>
      <c r="N107" s="238">
        <v>48649.919999999998</v>
      </c>
      <c r="O107" s="177"/>
      <c r="P107" s="278" t="s">
        <v>4</v>
      </c>
      <c r="Q107" s="274">
        <v>1.44</v>
      </c>
      <c r="R107" s="268">
        <v>23661.85</v>
      </c>
      <c r="S107" s="177"/>
      <c r="T107" s="102"/>
      <c r="U107" s="7"/>
      <c r="V107" s="9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54"/>
      <c r="AM107" s="154"/>
      <c r="AN107" s="154"/>
      <c r="AO107" s="151"/>
      <c r="AP107" s="155"/>
      <c r="AQ107" s="155"/>
      <c r="AR107" s="155"/>
      <c r="AS107" s="155"/>
      <c r="AT107" s="152"/>
      <c r="AU107" s="151"/>
      <c r="AV107" s="151"/>
      <c r="AW107" s="133"/>
    </row>
    <row r="108" spans="1:49" ht="21" x14ac:dyDescent="0.25">
      <c r="A108" s="412"/>
      <c r="B108" s="215" t="s">
        <v>5</v>
      </c>
      <c r="C108" s="214">
        <v>32.14</v>
      </c>
      <c r="D108" s="226">
        <v>39363.46</v>
      </c>
      <c r="E108" s="226">
        <v>124457.60000000001</v>
      </c>
      <c r="F108" s="218"/>
      <c r="G108" s="177"/>
      <c r="H108" s="245" t="s">
        <v>246</v>
      </c>
      <c r="I108" s="248">
        <v>2.33</v>
      </c>
      <c r="J108" s="260">
        <v>7640.3</v>
      </c>
      <c r="K108" s="266">
        <v>1.33</v>
      </c>
      <c r="L108" s="238">
        <v>266</v>
      </c>
      <c r="M108" s="251">
        <v>15.25</v>
      </c>
      <c r="N108" s="238">
        <v>53567.6</v>
      </c>
      <c r="O108" s="177"/>
      <c r="P108" s="278" t="s">
        <v>246</v>
      </c>
      <c r="Q108" s="274">
        <v>1.5</v>
      </c>
      <c r="R108" s="268">
        <v>23789.59</v>
      </c>
      <c r="S108" s="177"/>
      <c r="T108" s="102"/>
      <c r="U108" s="7"/>
      <c r="V108" s="9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54"/>
      <c r="AM108" s="154"/>
      <c r="AN108" s="154"/>
      <c r="AO108" s="151"/>
      <c r="AP108" s="155"/>
      <c r="AQ108" s="155"/>
      <c r="AR108" s="155"/>
      <c r="AS108" s="155"/>
      <c r="AT108" s="152"/>
      <c r="AU108" s="151"/>
      <c r="AV108" s="151"/>
      <c r="AW108" s="133"/>
    </row>
    <row r="109" spans="1:49" ht="21" x14ac:dyDescent="0.25">
      <c r="A109" s="412"/>
      <c r="B109" s="215" t="s">
        <v>6</v>
      </c>
      <c r="C109" s="214">
        <v>42.79</v>
      </c>
      <c r="D109" s="226">
        <f>C109*F101</f>
        <v>52407.052499999998</v>
      </c>
      <c r="E109" s="226">
        <v>156290.9</v>
      </c>
      <c r="F109" s="218"/>
      <c r="G109" s="177"/>
      <c r="H109" s="245" t="s">
        <v>247</v>
      </c>
      <c r="I109" s="248">
        <v>2.13</v>
      </c>
      <c r="J109" s="260">
        <v>6984.48</v>
      </c>
      <c r="K109" s="266">
        <v>2.79</v>
      </c>
      <c r="L109" s="238">
        <v>558</v>
      </c>
      <c r="M109" s="251">
        <v>22.61</v>
      </c>
      <c r="N109" s="238">
        <v>79420.56</v>
      </c>
      <c r="O109" s="177"/>
      <c r="P109" s="278" t="s">
        <v>247</v>
      </c>
      <c r="Q109" s="274">
        <v>3.41</v>
      </c>
      <c r="R109" s="268">
        <v>48331.54</v>
      </c>
      <c r="S109" s="177"/>
      <c r="T109" s="102"/>
      <c r="U109" s="7"/>
      <c r="V109" s="9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54"/>
      <c r="AM109" s="154"/>
      <c r="AN109" s="154"/>
      <c r="AO109" s="151"/>
      <c r="AP109" s="155"/>
      <c r="AQ109" s="155"/>
      <c r="AR109" s="155"/>
      <c r="AS109" s="155"/>
      <c r="AT109" s="152"/>
      <c r="AU109" s="151"/>
      <c r="AV109" s="151"/>
      <c r="AW109" s="133"/>
    </row>
    <row r="110" spans="1:49" ht="21" x14ac:dyDescent="0.25">
      <c r="A110" s="412"/>
      <c r="B110" s="215" t="s">
        <v>7</v>
      </c>
      <c r="C110" s="214">
        <v>41.62</v>
      </c>
      <c r="D110" s="226">
        <f>C110*F101</f>
        <v>50974.094999999994</v>
      </c>
      <c r="E110" s="226">
        <v>123060</v>
      </c>
      <c r="F110" s="218"/>
      <c r="G110" s="177"/>
      <c r="H110" s="245" t="s">
        <v>248</v>
      </c>
      <c r="I110" s="248">
        <v>4.0599999999999996</v>
      </c>
      <c r="J110" s="260">
        <v>13313.14</v>
      </c>
      <c r="K110" s="266">
        <v>1.98</v>
      </c>
      <c r="L110" s="238">
        <v>396</v>
      </c>
      <c r="M110" s="251">
        <v>25.57</v>
      </c>
      <c r="N110" s="238">
        <v>89817.94</v>
      </c>
      <c r="O110" s="177"/>
      <c r="P110" s="278" t="s">
        <v>248</v>
      </c>
      <c r="Q110" s="274">
        <v>1.9</v>
      </c>
      <c r="R110" s="268">
        <v>24482.23</v>
      </c>
      <c r="S110" s="177"/>
      <c r="T110" s="102"/>
      <c r="U110" s="7"/>
      <c r="V110" s="9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54"/>
      <c r="AM110" s="154"/>
      <c r="AN110" s="154"/>
      <c r="AO110" s="151"/>
      <c r="AP110" s="155"/>
      <c r="AQ110" s="155"/>
      <c r="AR110" s="155"/>
      <c r="AS110" s="155"/>
      <c r="AT110" s="152"/>
      <c r="AU110" s="151"/>
      <c r="AV110" s="151"/>
      <c r="AW110" s="133"/>
    </row>
    <row r="111" spans="1:49" ht="21" x14ac:dyDescent="0.25">
      <c r="A111" s="412"/>
      <c r="B111" s="215" t="s">
        <v>8</v>
      </c>
      <c r="C111" s="214">
        <v>33.119999999999997</v>
      </c>
      <c r="D111" s="226">
        <f>C111*F101</f>
        <v>40563.719999999994</v>
      </c>
      <c r="E111" s="226">
        <v>124421.9</v>
      </c>
      <c r="F111" s="218"/>
      <c r="G111" s="177"/>
      <c r="H111" s="245" t="s">
        <v>249</v>
      </c>
      <c r="I111" s="248">
        <v>2.46</v>
      </c>
      <c r="J111" s="260">
        <v>8066.58</v>
      </c>
      <c r="K111" s="266">
        <v>2.7</v>
      </c>
      <c r="L111" s="238">
        <v>540</v>
      </c>
      <c r="M111" s="251">
        <v>22.74</v>
      </c>
      <c r="N111" s="238">
        <v>79877.2</v>
      </c>
      <c r="O111" s="177"/>
      <c r="P111" s="278" t="s">
        <v>249</v>
      </c>
      <c r="Q111" s="274">
        <v>1.66</v>
      </c>
      <c r="R111" s="268">
        <v>26388.78</v>
      </c>
      <c r="S111" s="177"/>
      <c r="T111" s="102"/>
      <c r="U111" s="7"/>
      <c r="V111" s="9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54"/>
      <c r="AM111" s="154"/>
      <c r="AN111" s="154"/>
      <c r="AO111" s="151"/>
      <c r="AP111" s="155"/>
      <c r="AQ111" s="155"/>
      <c r="AR111" s="155"/>
      <c r="AS111" s="155"/>
      <c r="AT111" s="152"/>
      <c r="AU111" s="151"/>
      <c r="AV111" s="151"/>
      <c r="AW111" s="133"/>
    </row>
    <row r="112" spans="1:49" ht="21" x14ac:dyDescent="0.25">
      <c r="A112" s="412"/>
      <c r="B112" s="215" t="s">
        <v>9</v>
      </c>
      <c r="C112" s="214">
        <v>44.14</v>
      </c>
      <c r="D112" s="226">
        <f>C112*F101</f>
        <v>54060.465000000004</v>
      </c>
      <c r="E112" s="226">
        <v>155919.4</v>
      </c>
      <c r="F112" s="218"/>
      <c r="G112" s="177"/>
      <c r="H112" s="245" t="s">
        <v>250</v>
      </c>
      <c r="I112" s="248">
        <v>3.85</v>
      </c>
      <c r="J112" s="260">
        <v>12624.53</v>
      </c>
      <c r="K112" s="266">
        <v>3.34</v>
      </c>
      <c r="L112" s="238">
        <v>668</v>
      </c>
      <c r="M112" s="251">
        <v>29.43</v>
      </c>
      <c r="N112" s="238">
        <v>103376.7</v>
      </c>
      <c r="O112" s="177"/>
      <c r="P112" s="278" t="s">
        <v>250</v>
      </c>
      <c r="Q112" s="274">
        <v>1.81</v>
      </c>
      <c r="R112" s="268">
        <v>26637.07</v>
      </c>
      <c r="S112" s="177"/>
      <c r="T112" s="102"/>
      <c r="U112" s="7"/>
      <c r="V112" s="9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54"/>
      <c r="AM112" s="154"/>
      <c r="AN112" s="154"/>
      <c r="AO112" s="151"/>
      <c r="AP112" s="155"/>
      <c r="AQ112" s="155"/>
      <c r="AR112" s="155"/>
      <c r="AS112" s="155"/>
      <c r="AT112" s="152"/>
      <c r="AU112" s="151"/>
      <c r="AV112" s="151"/>
      <c r="AW112" s="133"/>
    </row>
    <row r="113" spans="1:49" ht="21" x14ac:dyDescent="0.25">
      <c r="A113" s="412"/>
      <c r="B113" s="215" t="s">
        <v>10</v>
      </c>
      <c r="C113" s="214">
        <v>36.75</v>
      </c>
      <c r="D113" s="226">
        <f>C113*F101</f>
        <v>45009.5625</v>
      </c>
      <c r="E113" s="226">
        <v>124401.3</v>
      </c>
      <c r="F113" s="218"/>
      <c r="G113" s="177"/>
      <c r="H113" s="245" t="s">
        <v>251</v>
      </c>
      <c r="I113" s="248">
        <v>3.35</v>
      </c>
      <c r="J113" s="260">
        <v>10984.98</v>
      </c>
      <c r="K113" s="266">
        <v>4.08</v>
      </c>
      <c r="L113" s="238">
        <v>816</v>
      </c>
      <c r="M113" s="251">
        <v>29.28</v>
      </c>
      <c r="N113" s="238">
        <v>102849.8</v>
      </c>
      <c r="O113" s="177"/>
      <c r="P113" s="278" t="s">
        <v>251</v>
      </c>
      <c r="Q113" s="274">
        <v>1.79</v>
      </c>
      <c r="R113" s="268">
        <v>26571.33</v>
      </c>
      <c r="S113" s="177"/>
      <c r="T113" s="102"/>
      <c r="U113" s="7"/>
      <c r="V113" s="9"/>
      <c r="W113" s="177"/>
      <c r="X113" s="177"/>
      <c r="Y113" s="177" t="s">
        <v>241</v>
      </c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54"/>
      <c r="AM113" s="154"/>
      <c r="AN113" s="154"/>
      <c r="AO113" s="151"/>
      <c r="AP113" s="155"/>
      <c r="AQ113" s="155"/>
      <c r="AR113" s="155"/>
      <c r="AS113" s="155"/>
      <c r="AT113" s="152"/>
      <c r="AU113" s="151"/>
      <c r="AV113" s="151"/>
      <c r="AW113" s="133"/>
    </row>
    <row r="114" spans="1:49" ht="21" x14ac:dyDescent="0.25">
      <c r="A114" s="412"/>
      <c r="B114" s="215" t="s">
        <v>11</v>
      </c>
      <c r="C114" s="214">
        <v>42</v>
      </c>
      <c r="D114" s="226">
        <f>C114*F101</f>
        <v>51439.5</v>
      </c>
      <c r="E114" s="226">
        <v>139800.4</v>
      </c>
      <c r="F114" s="218"/>
      <c r="G114" s="177"/>
      <c r="H114" s="245" t="s">
        <v>252</v>
      </c>
      <c r="I114" s="248">
        <v>2.15</v>
      </c>
      <c r="J114" s="260">
        <v>7050.06</v>
      </c>
      <c r="K114" s="266">
        <v>2.95</v>
      </c>
      <c r="L114" s="238">
        <v>590</v>
      </c>
      <c r="M114" s="251">
        <v>25.35</v>
      </c>
      <c r="N114" s="238">
        <v>89166.17</v>
      </c>
      <c r="O114" s="177"/>
      <c r="P114" s="278" t="s">
        <v>252</v>
      </c>
      <c r="Q114" s="274">
        <v>1.79</v>
      </c>
      <c r="R114" s="268">
        <v>26508.17</v>
      </c>
      <c r="S114" s="177"/>
      <c r="T114" s="102"/>
      <c r="U114" s="7"/>
      <c r="V114" s="9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54"/>
      <c r="AM114" s="154"/>
      <c r="AN114" s="154"/>
      <c r="AO114" s="151"/>
      <c r="AP114" s="155"/>
      <c r="AQ114" s="155"/>
      <c r="AR114" s="155"/>
      <c r="AS114" s="155"/>
      <c r="AT114" s="152"/>
      <c r="AU114" s="151"/>
      <c r="AV114" s="151"/>
      <c r="AW114" s="133"/>
    </row>
    <row r="115" spans="1:49" ht="21" x14ac:dyDescent="0.25">
      <c r="A115" s="412"/>
      <c r="B115" s="215" t="s">
        <v>12</v>
      </c>
      <c r="C115" s="214">
        <v>38.520000000000003</v>
      </c>
      <c r="D115" s="226">
        <v>47177.37</v>
      </c>
      <c r="E115" s="226">
        <v>140555.4</v>
      </c>
      <c r="F115" s="218"/>
      <c r="G115" s="177"/>
      <c r="H115" s="245" t="s">
        <v>254</v>
      </c>
      <c r="I115" s="248">
        <v>2.87</v>
      </c>
      <c r="J115" s="260">
        <v>9411.01</v>
      </c>
      <c r="K115" s="266">
        <v>2.04</v>
      </c>
      <c r="L115" s="238">
        <v>408</v>
      </c>
      <c r="M115" s="251">
        <v>22.83</v>
      </c>
      <c r="N115" s="238">
        <v>80193.34</v>
      </c>
      <c r="O115" s="177"/>
      <c r="P115" s="278" t="s">
        <v>253</v>
      </c>
      <c r="Q115" s="274">
        <v>1.91</v>
      </c>
      <c r="R115" s="268">
        <v>26713.119999999999</v>
      </c>
      <c r="S115" s="177"/>
      <c r="T115" s="102">
        <v>3.66</v>
      </c>
      <c r="U115" s="7">
        <v>1830</v>
      </c>
      <c r="V115" s="9">
        <v>4993.79</v>
      </c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54"/>
      <c r="AM115" s="154"/>
      <c r="AN115" s="154"/>
      <c r="AO115" s="151"/>
      <c r="AP115" s="155"/>
      <c r="AQ115" s="155"/>
      <c r="AR115" s="155"/>
      <c r="AS115" s="155"/>
      <c r="AT115" s="152"/>
      <c r="AU115" s="151"/>
      <c r="AV115" s="151"/>
      <c r="AW115" s="133"/>
    </row>
    <row r="116" spans="1:49" ht="21" x14ac:dyDescent="0.25">
      <c r="A116" s="412"/>
      <c r="B116" s="215" t="s">
        <v>13</v>
      </c>
      <c r="C116" s="227">
        <v>31.56</v>
      </c>
      <c r="D116" s="226">
        <f>C116*F101</f>
        <v>38653.11</v>
      </c>
      <c r="E116" s="226">
        <v>124750.39999999999</v>
      </c>
      <c r="F116" s="218"/>
      <c r="G116" s="177"/>
      <c r="H116" s="245" t="s">
        <v>259</v>
      </c>
      <c r="I116" s="249">
        <v>2.2999999999999998</v>
      </c>
      <c r="J116" s="260">
        <v>7541.93</v>
      </c>
      <c r="K116" s="266">
        <v>4.34</v>
      </c>
      <c r="L116" s="238">
        <v>868</v>
      </c>
      <c r="M116" s="251">
        <v>24.02</v>
      </c>
      <c r="N116" s="238">
        <v>84373.3</v>
      </c>
      <c r="O116" s="177"/>
      <c r="P116" s="278" t="s">
        <v>259</v>
      </c>
      <c r="Q116" s="275">
        <v>1.77</v>
      </c>
      <c r="R116" s="268">
        <v>26562.44</v>
      </c>
      <c r="S116" s="177"/>
      <c r="T116" s="102"/>
      <c r="U116" s="7"/>
      <c r="V116" s="9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54"/>
      <c r="AM116" s="154"/>
      <c r="AN116" s="154"/>
      <c r="AO116" s="151"/>
      <c r="AP116" s="155"/>
      <c r="AQ116" s="155"/>
      <c r="AR116" s="155"/>
      <c r="AS116" s="155"/>
      <c r="AT116" s="152"/>
      <c r="AU116" s="151"/>
      <c r="AV116" s="151"/>
      <c r="AW116" s="133"/>
    </row>
    <row r="117" spans="1:49" ht="21.75" thickBot="1" x14ac:dyDescent="0.3">
      <c r="A117" s="412"/>
      <c r="B117" s="215" t="s">
        <v>14</v>
      </c>
      <c r="C117" s="214">
        <v>40.22</v>
      </c>
      <c r="D117" s="226">
        <f>C117*F101</f>
        <v>49259.445</v>
      </c>
      <c r="E117" s="226">
        <v>154561.79999999999</v>
      </c>
      <c r="F117" s="218"/>
      <c r="G117" s="177"/>
      <c r="H117" s="245" t="s">
        <v>260</v>
      </c>
      <c r="I117" s="250">
        <v>1.61</v>
      </c>
      <c r="J117" s="261">
        <v>5279.35</v>
      </c>
      <c r="K117" s="295">
        <v>1.31</v>
      </c>
      <c r="L117" s="254">
        <v>262</v>
      </c>
      <c r="M117" s="263">
        <v>10.45</v>
      </c>
      <c r="N117" s="254">
        <v>36706.980000000003</v>
      </c>
      <c r="O117" s="177"/>
      <c r="P117" s="279" t="s">
        <v>260</v>
      </c>
      <c r="Q117" s="276">
        <v>1.6</v>
      </c>
      <c r="R117" s="269">
        <v>26330.52</v>
      </c>
      <c r="S117" s="177"/>
      <c r="T117" s="15"/>
      <c r="U117" s="17"/>
      <c r="V117" s="78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54"/>
      <c r="AM117" s="154"/>
      <c r="AN117" s="154"/>
      <c r="AO117" s="151"/>
      <c r="AP117" s="155"/>
      <c r="AQ117" s="155"/>
      <c r="AR117" s="155"/>
      <c r="AS117" s="155"/>
      <c r="AT117" s="152"/>
      <c r="AU117" s="151"/>
      <c r="AV117" s="151"/>
      <c r="AW117" s="133"/>
    </row>
    <row r="118" spans="1:49" ht="21.75" thickBot="1" x14ac:dyDescent="0.3">
      <c r="A118" s="412"/>
      <c r="B118" s="216" t="s">
        <v>15</v>
      </c>
      <c r="C118" s="228">
        <f>SUM(C106:C117)</f>
        <v>452.78999999999996</v>
      </c>
      <c r="D118" s="229">
        <f>SUM(D106:D117)</f>
        <v>554554.54749999999</v>
      </c>
      <c r="E118" s="229">
        <f>SUM(E106:E117)</f>
        <v>1648102.9999999998</v>
      </c>
      <c r="F118" s="230"/>
      <c r="G118" s="177"/>
      <c r="H118" s="239" t="s">
        <v>15</v>
      </c>
      <c r="I118" s="228">
        <f t="shared" ref="I118:J118" si="24">SUM(I106:I117)</f>
        <v>31.35</v>
      </c>
      <c r="J118" s="229">
        <f t="shared" si="24"/>
        <v>102799.72999999998</v>
      </c>
      <c r="K118" s="265">
        <f>SUM(K106:K117)</f>
        <v>30.59</v>
      </c>
      <c r="L118" s="252">
        <f t="shared" ref="L118:N118" si="25">SUM(L106:L117)</f>
        <v>6118</v>
      </c>
      <c r="M118" s="257">
        <f t="shared" si="25"/>
        <v>261.55</v>
      </c>
      <c r="N118" s="258">
        <f t="shared" si="25"/>
        <v>918849.25000000012</v>
      </c>
      <c r="O118" s="177"/>
      <c r="P118" s="270" t="s">
        <v>15</v>
      </c>
      <c r="Q118" s="271">
        <f t="shared" ref="Q118:R118" si="26">SUM(Q106:Q117)</f>
        <v>22.07</v>
      </c>
      <c r="R118" s="272">
        <f t="shared" si="26"/>
        <v>329776</v>
      </c>
      <c r="S118" s="177"/>
      <c r="T118" s="293">
        <f>SUM(T105:T116)</f>
        <v>3.66</v>
      </c>
      <c r="U118" s="173">
        <f>SUM(U105:U116)</f>
        <v>1830</v>
      </c>
      <c r="V118" s="294">
        <f>SUM(V105:V116)</f>
        <v>4993.79</v>
      </c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54"/>
      <c r="AM118" s="154"/>
      <c r="AN118" s="154"/>
      <c r="AO118" s="151"/>
      <c r="AP118" s="155"/>
      <c r="AQ118" s="155"/>
      <c r="AR118" s="155"/>
      <c r="AS118" s="155"/>
      <c r="AT118" s="152"/>
      <c r="AU118" s="151"/>
      <c r="AV118" s="151"/>
      <c r="AW118" s="133"/>
    </row>
    <row r="119" spans="1:49" ht="21.75" thickBot="1" x14ac:dyDescent="0.3">
      <c r="A119" s="411"/>
      <c r="B119" s="342" t="s">
        <v>264</v>
      </c>
      <c r="C119" s="342"/>
      <c r="D119" s="343">
        <f>SUM(E118+D118+D100+G100+J100+J118+N118+R118+M100+P100+S100+V100+Y100+AB100+AE100-AN99+AO99-AU99+AV99-AM99)</f>
        <v>5109685.4984999998</v>
      </c>
      <c r="E119" s="344"/>
      <c r="F119" s="345"/>
      <c r="G119" s="177"/>
      <c r="H119" s="243"/>
      <c r="I119" s="243"/>
      <c r="J119" s="240"/>
      <c r="K119" s="240"/>
      <c r="L119" s="240"/>
      <c r="M119" s="241"/>
      <c r="N119" s="241"/>
      <c r="O119" s="177"/>
      <c r="P119" s="177"/>
      <c r="Q119" s="177"/>
      <c r="R119" s="177"/>
      <c r="S119" s="177"/>
      <c r="T119" s="289"/>
      <c r="U119" s="287">
        <f>SUM(V118+U118)</f>
        <v>6823.79</v>
      </c>
      <c r="V119" s="288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54"/>
      <c r="AM119" s="154"/>
      <c r="AN119" s="154"/>
      <c r="AO119" s="151"/>
      <c r="AP119" s="155"/>
      <c r="AQ119" s="155"/>
      <c r="AR119" s="155"/>
      <c r="AS119" s="155"/>
      <c r="AT119" s="152"/>
      <c r="AU119" s="151"/>
      <c r="AV119" s="151"/>
      <c r="AW119" s="133"/>
    </row>
    <row r="120" spans="1:49" ht="21.75" thickBot="1" x14ac:dyDescent="0.3">
      <c r="A120" s="411"/>
      <c r="B120" s="346" t="s">
        <v>206</v>
      </c>
      <c r="C120" s="346"/>
      <c r="D120" s="347">
        <f>SUM(C118+C99+F99+I99+L99+O99+R99+M118)</f>
        <v>1227.5899999999999</v>
      </c>
      <c r="E120" s="348"/>
      <c r="F120" s="349"/>
      <c r="G120" s="177"/>
      <c r="H120" s="280" t="s">
        <v>236</v>
      </c>
      <c r="I120" s="281">
        <f>SUM(AP99+I118+Q118)</f>
        <v>70.779899999999998</v>
      </c>
      <c r="J120" s="242"/>
      <c r="K120" s="282" t="s">
        <v>27</v>
      </c>
      <c r="L120" s="283">
        <f>SUM(AR99+K118)</f>
        <v>76.737899999999996</v>
      </c>
      <c r="M120" s="241"/>
      <c r="N120" s="284" t="s">
        <v>237</v>
      </c>
      <c r="O120" s="285">
        <f>SUM(F99+C118+M118+C99)</f>
        <v>1057.3599999999999</v>
      </c>
      <c r="P120" s="177"/>
      <c r="Q120" s="286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54"/>
      <c r="AM120" s="154"/>
      <c r="AN120" s="154"/>
      <c r="AO120" s="151"/>
      <c r="AP120" s="155"/>
      <c r="AQ120" s="155"/>
      <c r="AR120" s="155"/>
      <c r="AS120" s="155"/>
      <c r="AT120" s="152"/>
      <c r="AU120" s="151"/>
      <c r="AV120" s="151"/>
      <c r="AW120" s="133"/>
    </row>
    <row r="121" spans="1:49" ht="21.75" thickBot="1" x14ac:dyDescent="0.3">
      <c r="A121" s="413"/>
      <c r="B121" s="399" t="s">
        <v>207</v>
      </c>
      <c r="C121" s="399"/>
      <c r="D121" s="400">
        <f>SUM(E118+E99+H99+K99+Q99+N99+T99+W99+Z99+AC99+AF99+AV99)</f>
        <v>2636188.6909999992</v>
      </c>
      <c r="E121" s="401"/>
      <c r="F121" s="402"/>
      <c r="G121" s="177"/>
      <c r="H121" s="243"/>
      <c r="I121" s="243"/>
      <c r="J121" s="241"/>
      <c r="K121" s="241"/>
      <c r="L121" s="241"/>
      <c r="M121" s="241"/>
      <c r="N121" s="241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54"/>
      <c r="AM121" s="154"/>
      <c r="AN121" s="154"/>
      <c r="AO121" s="151"/>
      <c r="AP121" s="155"/>
      <c r="AQ121" s="155"/>
      <c r="AR121" s="155"/>
      <c r="AS121" s="155"/>
      <c r="AT121" s="152"/>
      <c r="AU121" s="151"/>
      <c r="AV121" s="151"/>
      <c r="AW121" s="133"/>
    </row>
    <row r="122" spans="1:49" ht="16.5" thickBot="1" x14ac:dyDescent="0.3">
      <c r="C122" s="302"/>
      <c r="D122" s="31"/>
      <c r="E122" s="303"/>
      <c r="F122" s="302"/>
      <c r="G122" s="296"/>
      <c r="H122" s="304"/>
      <c r="I122" s="302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310"/>
      <c r="AH122" s="31"/>
      <c r="AI122" s="167"/>
      <c r="AJ122" s="31"/>
      <c r="AK122" s="298"/>
      <c r="AL122" s="298"/>
      <c r="AM122" s="298"/>
      <c r="AN122" s="298"/>
      <c r="AO122" s="302"/>
      <c r="AP122" s="296"/>
      <c r="AQ122" s="296"/>
      <c r="AR122" s="31"/>
      <c r="AS122" s="298"/>
      <c r="AT122" s="308"/>
      <c r="AU122" s="305"/>
      <c r="AV122" s="309"/>
      <c r="AW122" s="311"/>
    </row>
    <row r="123" spans="1:49" ht="16.5" thickBot="1" x14ac:dyDescent="0.3">
      <c r="C123" s="302"/>
      <c r="D123" s="31"/>
      <c r="E123" s="303"/>
      <c r="F123" s="302"/>
      <c r="G123" s="296"/>
      <c r="H123" s="304"/>
      <c r="I123" s="302"/>
      <c r="J123" s="296"/>
      <c r="K123" s="296"/>
      <c r="L123" s="305"/>
      <c r="M123" s="306"/>
      <c r="N123" s="307"/>
      <c r="AG123" s="310"/>
      <c r="AH123" s="31"/>
      <c r="AI123" s="167"/>
      <c r="AJ123" s="31"/>
      <c r="AK123" s="298"/>
      <c r="AL123" s="298"/>
      <c r="AM123" s="298"/>
      <c r="AN123" s="298"/>
      <c r="AO123" s="302"/>
      <c r="AP123" s="296"/>
      <c r="AQ123" s="296"/>
      <c r="AR123" s="31"/>
      <c r="AS123" s="298"/>
      <c r="AT123" s="308"/>
      <c r="AU123" s="305"/>
      <c r="AV123" s="309"/>
      <c r="AW123" s="311"/>
    </row>
    <row r="124" spans="1:49" ht="18.75" customHeight="1" thickTop="1" thickBot="1" x14ac:dyDescent="0.3">
      <c r="B124" s="197" t="s">
        <v>256</v>
      </c>
      <c r="C124" s="382" t="s">
        <v>233</v>
      </c>
      <c r="D124" s="383"/>
      <c r="E124" s="384"/>
      <c r="F124" s="382" t="s">
        <v>235</v>
      </c>
      <c r="G124" s="383"/>
      <c r="H124" s="384"/>
      <c r="I124" s="382" t="s">
        <v>125</v>
      </c>
      <c r="J124" s="383"/>
      <c r="K124" s="385"/>
      <c r="L124" s="386" t="s">
        <v>129</v>
      </c>
      <c r="M124" s="364"/>
      <c r="N124" s="365"/>
      <c r="O124" s="363" t="s">
        <v>134</v>
      </c>
      <c r="P124" s="364"/>
      <c r="Q124" s="365"/>
      <c r="R124" s="387" t="s">
        <v>154</v>
      </c>
      <c r="S124" s="388"/>
      <c r="T124" s="389"/>
      <c r="U124" s="363" t="s">
        <v>158</v>
      </c>
      <c r="V124" s="364"/>
      <c r="W124" s="365"/>
      <c r="X124" s="363" t="s">
        <v>159</v>
      </c>
      <c r="Y124" s="364"/>
      <c r="Z124" s="365"/>
      <c r="AA124" s="363" t="s">
        <v>138</v>
      </c>
      <c r="AB124" s="364"/>
      <c r="AC124" s="365"/>
      <c r="AD124" s="363" t="s">
        <v>130</v>
      </c>
      <c r="AE124" s="364"/>
      <c r="AF124" s="365"/>
      <c r="AG124" s="414" t="s">
        <v>152</v>
      </c>
      <c r="AH124" s="415"/>
      <c r="AI124" s="416" t="s">
        <v>167</v>
      </c>
      <c r="AJ124" s="415"/>
      <c r="AK124" s="8"/>
      <c r="AL124" s="8"/>
      <c r="AM124" s="8"/>
      <c r="AN124" s="8"/>
      <c r="AO124" s="417" t="s">
        <v>99</v>
      </c>
      <c r="AP124" s="418"/>
      <c r="AQ124" s="418"/>
      <c r="AR124" s="419"/>
      <c r="AS124" s="8"/>
      <c r="AT124" s="363" t="s">
        <v>145</v>
      </c>
      <c r="AU124" s="364"/>
      <c r="AV124" s="365"/>
      <c r="AW124" s="141"/>
    </row>
    <row r="125" spans="1:49" ht="60" customHeight="1" x14ac:dyDescent="0.25">
      <c r="A125" s="403" t="s">
        <v>255</v>
      </c>
      <c r="B125" s="198" t="s">
        <v>0</v>
      </c>
      <c r="C125" s="110" t="s">
        <v>119</v>
      </c>
      <c r="D125" s="20" t="s">
        <v>120</v>
      </c>
      <c r="E125" s="14" t="s">
        <v>121</v>
      </c>
      <c r="F125" s="86" t="s">
        <v>119</v>
      </c>
      <c r="G125" s="20" t="s">
        <v>120</v>
      </c>
      <c r="H125" s="14" t="s">
        <v>121</v>
      </c>
      <c r="I125" s="86" t="s">
        <v>23</v>
      </c>
      <c r="J125" s="20" t="s">
        <v>122</v>
      </c>
      <c r="K125" s="111" t="s">
        <v>123</v>
      </c>
      <c r="L125" s="184" t="s">
        <v>131</v>
      </c>
      <c r="M125" s="20" t="s">
        <v>132</v>
      </c>
      <c r="N125" s="14" t="s">
        <v>133</v>
      </c>
      <c r="O125" s="86" t="s">
        <v>135</v>
      </c>
      <c r="P125" s="20" t="s">
        <v>136</v>
      </c>
      <c r="Q125" s="14" t="s">
        <v>137</v>
      </c>
      <c r="R125" s="86" t="s">
        <v>155</v>
      </c>
      <c r="S125" s="20" t="s">
        <v>156</v>
      </c>
      <c r="T125" s="14" t="s">
        <v>157</v>
      </c>
      <c r="U125" s="86" t="s">
        <v>160</v>
      </c>
      <c r="V125" s="20" t="s">
        <v>161</v>
      </c>
      <c r="W125" s="14" t="s">
        <v>162</v>
      </c>
      <c r="X125" s="86" t="s">
        <v>163</v>
      </c>
      <c r="Y125" s="20" t="s">
        <v>164</v>
      </c>
      <c r="Z125" s="14" t="s">
        <v>165</v>
      </c>
      <c r="AA125" s="86" t="s">
        <v>139</v>
      </c>
      <c r="AB125" s="20" t="s">
        <v>140</v>
      </c>
      <c r="AC125" s="14" t="s">
        <v>141</v>
      </c>
      <c r="AD125" s="86" t="s">
        <v>126</v>
      </c>
      <c r="AE125" s="20" t="s">
        <v>127</v>
      </c>
      <c r="AF125" s="14" t="s">
        <v>128</v>
      </c>
      <c r="AG125" s="20" t="s">
        <v>172</v>
      </c>
      <c r="AH125" s="20" t="s">
        <v>171</v>
      </c>
      <c r="AI125" s="20" t="s">
        <v>169</v>
      </c>
      <c r="AJ125" s="20" t="s">
        <v>170</v>
      </c>
      <c r="AK125" s="14" t="s">
        <v>173</v>
      </c>
      <c r="AL125" s="14" t="s">
        <v>97</v>
      </c>
      <c r="AM125" s="14" t="s">
        <v>101</v>
      </c>
      <c r="AN125" s="14" t="s">
        <v>66</v>
      </c>
      <c r="AO125" s="20" t="s">
        <v>202</v>
      </c>
      <c r="AP125" s="14" t="s">
        <v>90</v>
      </c>
      <c r="AQ125" s="14" t="s">
        <v>91</v>
      </c>
      <c r="AR125" s="14" t="s">
        <v>27</v>
      </c>
      <c r="AS125" s="14" t="s">
        <v>100</v>
      </c>
      <c r="AT125" s="86" t="s">
        <v>146</v>
      </c>
      <c r="AU125" s="22" t="s">
        <v>148</v>
      </c>
      <c r="AV125" s="183" t="s">
        <v>147</v>
      </c>
      <c r="AW125" s="135" t="s">
        <v>94</v>
      </c>
    </row>
    <row r="126" spans="1:49" ht="18.75" customHeight="1" thickBot="1" x14ac:dyDescent="0.3">
      <c r="A126" s="404"/>
      <c r="B126" s="199"/>
      <c r="C126" s="112" t="s">
        <v>151</v>
      </c>
      <c r="D126" s="18" t="s">
        <v>151</v>
      </c>
      <c r="E126" s="87" t="s">
        <v>1</v>
      </c>
      <c r="F126" s="90" t="s">
        <v>151</v>
      </c>
      <c r="G126" s="18" t="s">
        <v>151</v>
      </c>
      <c r="H126" s="87" t="s">
        <v>1</v>
      </c>
      <c r="I126" s="90" t="s">
        <v>151</v>
      </c>
      <c r="J126" s="18" t="s">
        <v>151</v>
      </c>
      <c r="K126" s="113" t="s">
        <v>1</v>
      </c>
      <c r="L126" s="85" t="s">
        <v>151</v>
      </c>
      <c r="M126" s="18" t="s">
        <v>151</v>
      </c>
      <c r="N126" s="87" t="s">
        <v>1</v>
      </c>
      <c r="O126" s="90" t="s">
        <v>151</v>
      </c>
      <c r="P126" s="18" t="s">
        <v>151</v>
      </c>
      <c r="Q126" s="87" t="s">
        <v>1</v>
      </c>
      <c r="R126" s="90" t="s">
        <v>151</v>
      </c>
      <c r="S126" s="18" t="s">
        <v>151</v>
      </c>
      <c r="T126" s="87" t="s">
        <v>1</v>
      </c>
      <c r="U126" s="90" t="s">
        <v>151</v>
      </c>
      <c r="V126" s="18" t="s">
        <v>151</v>
      </c>
      <c r="W126" s="87" t="s">
        <v>1</v>
      </c>
      <c r="X126" s="90" t="s">
        <v>151</v>
      </c>
      <c r="Y126" s="18" t="s">
        <v>151</v>
      </c>
      <c r="Z126" s="87" t="s">
        <v>1</v>
      </c>
      <c r="AA126" s="90" t="s">
        <v>151</v>
      </c>
      <c r="AB126" s="18" t="s">
        <v>151</v>
      </c>
      <c r="AC126" s="87" t="s">
        <v>1</v>
      </c>
      <c r="AD126" s="90" t="s">
        <v>151</v>
      </c>
      <c r="AE126" s="18" t="s">
        <v>151</v>
      </c>
      <c r="AF126" s="87" t="s">
        <v>151</v>
      </c>
      <c r="AG126" s="85" t="s">
        <v>17</v>
      </c>
      <c r="AH126" s="18" t="s">
        <v>18</v>
      </c>
      <c r="AI126" s="85" t="s">
        <v>168</v>
      </c>
      <c r="AJ126" s="18" t="s">
        <v>151</v>
      </c>
      <c r="AK126" s="18" t="s">
        <v>18</v>
      </c>
      <c r="AL126" s="18" t="s">
        <v>98</v>
      </c>
      <c r="AM126" s="18" t="s">
        <v>98</v>
      </c>
      <c r="AN126" s="18" t="s">
        <v>98</v>
      </c>
      <c r="AO126" s="18" t="s">
        <v>150</v>
      </c>
      <c r="AP126" s="18" t="s">
        <v>17</v>
      </c>
      <c r="AQ126" s="18" t="s">
        <v>17</v>
      </c>
      <c r="AR126" s="18" t="s">
        <v>17</v>
      </c>
      <c r="AS126" s="18" t="s">
        <v>17</v>
      </c>
      <c r="AT126" s="90" t="s">
        <v>149</v>
      </c>
      <c r="AU126" s="90" t="s">
        <v>149</v>
      </c>
      <c r="AV126" s="134" t="s">
        <v>1</v>
      </c>
      <c r="AW126" s="142" t="s">
        <v>93</v>
      </c>
    </row>
    <row r="127" spans="1:49" ht="18.75" customHeight="1" x14ac:dyDescent="0.25">
      <c r="A127" s="404"/>
      <c r="B127" s="210" t="s">
        <v>3</v>
      </c>
      <c r="C127" s="114"/>
      <c r="D127" s="3"/>
      <c r="E127" s="21"/>
      <c r="F127" s="1"/>
      <c r="G127" s="3"/>
      <c r="H127" s="21"/>
      <c r="I127" s="299">
        <v>6.82</v>
      </c>
      <c r="J127" s="3">
        <f>K1*I127</f>
        <v>17524.944800000001</v>
      </c>
      <c r="K127" s="115">
        <v>10491.1</v>
      </c>
      <c r="L127" s="107">
        <v>2.71</v>
      </c>
      <c r="M127" s="3">
        <v>3521.65</v>
      </c>
      <c r="N127" s="21">
        <v>5333.35</v>
      </c>
      <c r="O127" s="101">
        <v>1.7</v>
      </c>
      <c r="P127" s="3">
        <v>1173</v>
      </c>
      <c r="Q127" s="21">
        <v>4291.1099999999997</v>
      </c>
      <c r="R127" s="101"/>
      <c r="S127" s="3"/>
      <c r="T127" s="21"/>
      <c r="U127" s="101"/>
      <c r="V127" s="3"/>
      <c r="W127" s="21"/>
      <c r="X127" s="101"/>
      <c r="Y127" s="3"/>
      <c r="Z127" s="21"/>
      <c r="AA127" s="101">
        <v>1.1000000000000001</v>
      </c>
      <c r="AB127" s="3"/>
      <c r="AC127" s="21">
        <v>4291.1099999999997</v>
      </c>
      <c r="AD127" s="98"/>
      <c r="AE127" s="3"/>
      <c r="AF127" s="21"/>
      <c r="AG127" s="93"/>
      <c r="AH127" s="3"/>
      <c r="AI127" s="93"/>
      <c r="AJ127" s="3"/>
      <c r="AK127" s="21"/>
      <c r="AL127" s="21"/>
      <c r="AM127" s="21"/>
      <c r="AN127" s="21">
        <v>109298</v>
      </c>
      <c r="AO127" s="3">
        <v>38168.160000000003</v>
      </c>
      <c r="AP127" s="72">
        <v>1.5259</v>
      </c>
      <c r="AQ127" s="72">
        <v>2.4742999999999999</v>
      </c>
      <c r="AR127" s="72">
        <v>3.5771999999999999</v>
      </c>
      <c r="AS127" s="72"/>
      <c r="AT127" s="98"/>
      <c r="AU127" s="3"/>
      <c r="AV127" s="137"/>
      <c r="AW127" s="143"/>
    </row>
    <row r="128" spans="1:49" ht="18.75" customHeight="1" x14ac:dyDescent="0.25">
      <c r="A128" s="404"/>
      <c r="B128" s="211" t="s">
        <v>4</v>
      </c>
      <c r="C128" s="116"/>
      <c r="D128" s="7"/>
      <c r="E128" s="9"/>
      <c r="F128" s="5"/>
      <c r="G128" s="7"/>
      <c r="H128" s="9"/>
      <c r="I128" s="5">
        <v>14.48</v>
      </c>
      <c r="J128" s="7">
        <f>K1*I128</f>
        <v>37208.387199999997</v>
      </c>
      <c r="K128" s="117">
        <v>14289.21</v>
      </c>
      <c r="L128" s="108">
        <v>4.3899999999999997</v>
      </c>
      <c r="M128" s="7">
        <v>5704.81</v>
      </c>
      <c r="N128" s="9">
        <v>9646.89</v>
      </c>
      <c r="O128" s="102"/>
      <c r="P128" s="7"/>
      <c r="Q128" s="9"/>
      <c r="R128" s="102"/>
      <c r="S128" s="7"/>
      <c r="T128" s="9"/>
      <c r="U128" s="102"/>
      <c r="V128" s="7"/>
      <c r="W128" s="9"/>
      <c r="X128" s="102"/>
      <c r="Y128" s="7"/>
      <c r="Z128" s="9"/>
      <c r="AA128" s="102"/>
      <c r="AB128" s="7"/>
      <c r="AC128" s="9"/>
      <c r="AD128" s="99"/>
      <c r="AE128" s="7"/>
      <c r="AF128" s="9"/>
      <c r="AG128" s="94"/>
      <c r="AH128" s="7"/>
      <c r="AI128" s="94"/>
      <c r="AJ128" s="7"/>
      <c r="AK128" s="9"/>
      <c r="AL128" s="9"/>
      <c r="AM128" s="9"/>
      <c r="AN128" s="9"/>
      <c r="AO128" s="7">
        <v>37002.339999999997</v>
      </c>
      <c r="AP128" s="72">
        <v>1.0730999999999999</v>
      </c>
      <c r="AQ128" s="72">
        <v>1.8547</v>
      </c>
      <c r="AR128" s="72">
        <v>3.0362</v>
      </c>
      <c r="AS128" s="72"/>
      <c r="AT128" s="99"/>
      <c r="AU128" s="7"/>
      <c r="AV128" s="138"/>
      <c r="AW128" s="143"/>
    </row>
    <row r="129" spans="1:50" ht="18.75" customHeight="1" x14ac:dyDescent="0.25">
      <c r="A129" s="404"/>
      <c r="B129" s="211" t="s">
        <v>5</v>
      </c>
      <c r="C129" s="118"/>
      <c r="D129" s="7"/>
      <c r="E129" s="9"/>
      <c r="F129" s="96"/>
      <c r="G129" s="7"/>
      <c r="H129" s="9"/>
      <c r="I129" s="96">
        <v>15.85</v>
      </c>
      <c r="J129" s="105">
        <f>K1*I129</f>
        <v>40728.793999999994</v>
      </c>
      <c r="K129" s="117">
        <v>24173.46</v>
      </c>
      <c r="L129" s="108">
        <v>9.15</v>
      </c>
      <c r="M129" s="7">
        <v>11890.43</v>
      </c>
      <c r="N129" s="9">
        <v>20506.8</v>
      </c>
      <c r="O129" s="102">
        <v>5.96</v>
      </c>
      <c r="P129" s="7">
        <v>4112.3999999999996</v>
      </c>
      <c r="Q129" s="9">
        <v>13467.42</v>
      </c>
      <c r="R129" s="102"/>
      <c r="S129" s="7"/>
      <c r="T129" s="9"/>
      <c r="U129" s="102"/>
      <c r="V129" s="7"/>
      <c r="W129" s="9"/>
      <c r="X129" s="102"/>
      <c r="Y129" s="7"/>
      <c r="Z129" s="9"/>
      <c r="AA129" s="102"/>
      <c r="AB129" s="7"/>
      <c r="AC129" s="9"/>
      <c r="AD129" s="99"/>
      <c r="AE129" s="7"/>
      <c r="AF129" s="9"/>
      <c r="AG129" s="94"/>
      <c r="AH129" s="7"/>
      <c r="AI129" s="94"/>
      <c r="AJ129" s="7"/>
      <c r="AK129" s="9"/>
      <c r="AL129" s="9"/>
      <c r="AM129" s="9">
        <v>4993.5</v>
      </c>
      <c r="AN129" s="9"/>
      <c r="AO129" s="7">
        <v>51709.23</v>
      </c>
      <c r="AP129" s="72">
        <v>1.4193</v>
      </c>
      <c r="AQ129" s="72">
        <v>2.3557000000000001</v>
      </c>
      <c r="AR129" s="72">
        <v>3.2667000000000002</v>
      </c>
      <c r="AS129" s="72"/>
      <c r="AT129" s="99">
        <v>2.2200000000000002</v>
      </c>
      <c r="AU129" s="7">
        <v>12690</v>
      </c>
      <c r="AV129" s="138">
        <v>6240.01</v>
      </c>
      <c r="AW129" s="143">
        <v>508</v>
      </c>
    </row>
    <row r="130" spans="1:50" ht="18.75" customHeight="1" x14ac:dyDescent="0.25">
      <c r="A130" s="404"/>
      <c r="B130" s="211" t="s">
        <v>6</v>
      </c>
      <c r="C130" s="118"/>
      <c r="D130" s="7"/>
      <c r="E130" s="9"/>
      <c r="F130" s="96"/>
      <c r="G130" s="7"/>
      <c r="H130" s="9"/>
      <c r="I130" s="96">
        <v>18.75</v>
      </c>
      <c r="J130" s="105">
        <v>32451.56</v>
      </c>
      <c r="K130" s="117">
        <v>28219.96</v>
      </c>
      <c r="L130" s="108">
        <v>9.1199999999999992</v>
      </c>
      <c r="M130" s="7">
        <v>11851.44</v>
      </c>
      <c r="N130" s="9">
        <v>19095.400000000001</v>
      </c>
      <c r="O130" s="102">
        <v>4.32</v>
      </c>
      <c r="P130" s="7">
        <v>2980.8</v>
      </c>
      <c r="Q130" s="9">
        <v>8921.35</v>
      </c>
      <c r="R130" s="102"/>
      <c r="S130" s="7"/>
      <c r="T130" s="9"/>
      <c r="U130" s="102"/>
      <c r="V130" s="7"/>
      <c r="W130" s="9"/>
      <c r="X130" s="102"/>
      <c r="Y130" s="7"/>
      <c r="Z130" s="9"/>
      <c r="AA130" s="102"/>
      <c r="AB130" s="7"/>
      <c r="AC130" s="9"/>
      <c r="AD130" s="99"/>
      <c r="AE130" s="7"/>
      <c r="AF130" s="9"/>
      <c r="AG130" s="94"/>
      <c r="AH130" s="7"/>
      <c r="AI130" s="94"/>
      <c r="AJ130" s="7"/>
      <c r="AK130" s="9"/>
      <c r="AL130" s="9"/>
      <c r="AM130" s="9"/>
      <c r="AN130" s="9"/>
      <c r="AO130" s="7">
        <v>37243.61</v>
      </c>
      <c r="AP130" s="72">
        <v>1.1408</v>
      </c>
      <c r="AQ130" s="72">
        <v>2.0754000000000001</v>
      </c>
      <c r="AR130" s="72">
        <v>2.145</v>
      </c>
      <c r="AS130" s="72"/>
      <c r="AT130" s="99">
        <v>1.38</v>
      </c>
      <c r="AU130" s="7">
        <v>8280</v>
      </c>
      <c r="AV130" s="138">
        <v>3502.44</v>
      </c>
      <c r="AW130" s="143"/>
    </row>
    <row r="131" spans="1:50" ht="18.75" customHeight="1" x14ac:dyDescent="0.25">
      <c r="A131" s="404"/>
      <c r="B131" s="211" t="s">
        <v>7</v>
      </c>
      <c r="C131" s="119"/>
      <c r="D131" s="7"/>
      <c r="E131" s="9"/>
      <c r="F131" s="91"/>
      <c r="G131" s="7"/>
      <c r="H131" s="9"/>
      <c r="I131" s="96">
        <v>30.96</v>
      </c>
      <c r="J131" s="105">
        <v>53584.02</v>
      </c>
      <c r="K131" s="117">
        <v>45184.65</v>
      </c>
      <c r="L131" s="108">
        <v>19.39</v>
      </c>
      <c r="M131" s="7">
        <v>17332.46</v>
      </c>
      <c r="N131" s="9">
        <v>25035.27</v>
      </c>
      <c r="O131" s="102">
        <v>6.94</v>
      </c>
      <c r="P131" s="7">
        <v>4788.6000000000004</v>
      </c>
      <c r="Q131" s="9">
        <v>14232.28</v>
      </c>
      <c r="R131" s="102"/>
      <c r="S131" s="7"/>
      <c r="T131" s="9"/>
      <c r="U131" s="102"/>
      <c r="V131" s="7"/>
      <c r="W131" s="9"/>
      <c r="X131" s="102"/>
      <c r="Y131" s="7"/>
      <c r="Z131" s="9"/>
      <c r="AA131" s="102">
        <v>1.5</v>
      </c>
      <c r="AB131" s="7"/>
      <c r="AC131" s="9">
        <v>4999.05</v>
      </c>
      <c r="AD131" s="99">
        <v>1.409</v>
      </c>
      <c r="AE131" s="7">
        <v>19016.810000000001</v>
      </c>
      <c r="AF131" s="9">
        <v>2553</v>
      </c>
      <c r="AG131" s="94"/>
      <c r="AH131" s="7"/>
      <c r="AI131" s="94"/>
      <c r="AJ131" s="7"/>
      <c r="AK131" s="9"/>
      <c r="AL131" s="9"/>
      <c r="AM131" s="9"/>
      <c r="AN131" s="9">
        <v>139390</v>
      </c>
      <c r="AO131" s="7">
        <v>37083.42</v>
      </c>
      <c r="AP131" s="72">
        <v>1.1678999999999999</v>
      </c>
      <c r="AQ131" s="72">
        <v>1.7311000000000001</v>
      </c>
      <c r="AR131" s="72">
        <v>4.5465999999999998</v>
      </c>
      <c r="AS131" s="72"/>
      <c r="AT131" s="99">
        <v>1.58</v>
      </c>
      <c r="AU131" s="7">
        <v>7110</v>
      </c>
      <c r="AV131" s="138">
        <v>3757.39</v>
      </c>
      <c r="AW131" s="143"/>
    </row>
    <row r="132" spans="1:50" ht="18.75" customHeight="1" x14ac:dyDescent="0.25">
      <c r="A132" s="404"/>
      <c r="B132" s="211" t="s">
        <v>8</v>
      </c>
      <c r="C132" s="119"/>
      <c r="D132" s="7"/>
      <c r="E132" s="9"/>
      <c r="F132" s="91"/>
      <c r="G132" s="7"/>
      <c r="H132" s="9"/>
      <c r="I132" s="96">
        <v>29.99</v>
      </c>
      <c r="J132" s="105">
        <v>51905.19</v>
      </c>
      <c r="K132" s="117">
        <v>43926.09</v>
      </c>
      <c r="L132" s="108">
        <v>13.24</v>
      </c>
      <c r="M132" s="7">
        <v>17205.38</v>
      </c>
      <c r="N132" s="9">
        <v>26236.21</v>
      </c>
      <c r="O132" s="102">
        <v>3.13</v>
      </c>
      <c r="P132" s="7">
        <v>2159.6999999999998</v>
      </c>
      <c r="Q132" s="9">
        <v>9488.19</v>
      </c>
      <c r="R132" s="102"/>
      <c r="S132" s="7"/>
      <c r="T132" s="9"/>
      <c r="U132" s="102"/>
      <c r="V132" s="7"/>
      <c r="W132" s="9"/>
      <c r="X132" s="102"/>
      <c r="Y132" s="7"/>
      <c r="Z132" s="9"/>
      <c r="AA132" s="102"/>
      <c r="AB132" s="7"/>
      <c r="AC132" s="9"/>
      <c r="AD132" s="99"/>
      <c r="AE132" s="7"/>
      <c r="AF132" s="9"/>
      <c r="AG132" s="94"/>
      <c r="AH132" s="7"/>
      <c r="AI132" s="94"/>
      <c r="AJ132" s="7"/>
      <c r="AK132" s="9"/>
      <c r="AL132" s="9"/>
      <c r="AM132" s="9">
        <v>9974.5</v>
      </c>
      <c r="AN132" s="9"/>
      <c r="AO132" s="7">
        <v>44780.14</v>
      </c>
      <c r="AP132" s="72">
        <v>1.0941000000000001</v>
      </c>
      <c r="AQ132" s="72">
        <v>3.1757</v>
      </c>
      <c r="AR132" s="72">
        <v>3.3029999999999999</v>
      </c>
      <c r="AS132" s="72"/>
      <c r="AT132" s="99"/>
      <c r="AU132" s="7"/>
      <c r="AV132" s="138"/>
      <c r="AW132" s="143">
        <v>980</v>
      </c>
    </row>
    <row r="133" spans="1:50" ht="18.75" customHeight="1" x14ac:dyDescent="0.25">
      <c r="A133" s="404"/>
      <c r="B133" s="211" t="s">
        <v>9</v>
      </c>
      <c r="C133" s="119"/>
      <c r="D133" s="7"/>
      <c r="E133" s="9"/>
      <c r="F133" s="91"/>
      <c r="G133" s="7"/>
      <c r="H133" s="9"/>
      <c r="I133" s="96">
        <v>38.409999999999997</v>
      </c>
      <c r="J133" s="105">
        <v>66478.11</v>
      </c>
      <c r="K133" s="117">
        <v>53006.83</v>
      </c>
      <c r="L133" s="108">
        <v>4.5599999999999996</v>
      </c>
      <c r="M133" s="7">
        <v>5925.72</v>
      </c>
      <c r="N133" s="9">
        <v>14764.96</v>
      </c>
      <c r="O133" s="102">
        <v>1.9</v>
      </c>
      <c r="P133" s="7">
        <v>1311</v>
      </c>
      <c r="Q133" s="9">
        <v>4783.7700000000004</v>
      </c>
      <c r="R133" s="102"/>
      <c r="S133" s="7"/>
      <c r="T133" s="9"/>
      <c r="U133" s="102"/>
      <c r="V133" s="7"/>
      <c r="W133" s="9"/>
      <c r="X133" s="102"/>
      <c r="Y133" s="7"/>
      <c r="Z133" s="9"/>
      <c r="AA133" s="102"/>
      <c r="AB133" s="7"/>
      <c r="AC133" s="9"/>
      <c r="AD133" s="99">
        <v>1.4179999999999999</v>
      </c>
      <c r="AE133" s="7">
        <v>19456.75</v>
      </c>
      <c r="AF133" s="9">
        <v>2691</v>
      </c>
      <c r="AG133" s="94"/>
      <c r="AH133" s="7"/>
      <c r="AI133" s="94"/>
      <c r="AJ133" s="7"/>
      <c r="AK133" s="9"/>
      <c r="AL133" s="9">
        <v>4299.45</v>
      </c>
      <c r="AM133" s="9"/>
      <c r="AN133" s="9">
        <v>175407.5</v>
      </c>
      <c r="AO133" s="7">
        <v>57896.639999999999</v>
      </c>
      <c r="AP133" s="72">
        <v>1.2926</v>
      </c>
      <c r="AQ133" s="72">
        <v>2.2160000000000002</v>
      </c>
      <c r="AR133" s="72">
        <v>7.4029999999999996</v>
      </c>
      <c r="AS133" s="72"/>
      <c r="AT133" s="99">
        <v>4.32</v>
      </c>
      <c r="AU133" s="7">
        <v>19440</v>
      </c>
      <c r="AV133" s="138">
        <v>7514.79</v>
      </c>
      <c r="AW133" s="143"/>
    </row>
    <row r="134" spans="1:50" ht="18.75" customHeight="1" x14ac:dyDescent="0.25">
      <c r="A134" s="404"/>
      <c r="B134" s="211" t="s">
        <v>10</v>
      </c>
      <c r="C134" s="119"/>
      <c r="D134" s="7"/>
      <c r="E134" s="9"/>
      <c r="F134" s="91"/>
      <c r="G134" s="7"/>
      <c r="H134" s="9"/>
      <c r="I134" s="96">
        <v>36.619999999999997</v>
      </c>
      <c r="J134" s="105">
        <v>63380.07</v>
      </c>
      <c r="K134" s="117">
        <v>49476.105000000003</v>
      </c>
      <c r="L134" s="108">
        <v>16.079999999999998</v>
      </c>
      <c r="M134" s="7">
        <v>15953.26</v>
      </c>
      <c r="N134" s="9">
        <v>34897.440000000002</v>
      </c>
      <c r="O134" s="102"/>
      <c r="P134" s="7"/>
      <c r="Q134" s="9"/>
      <c r="R134" s="102"/>
      <c r="S134" s="7"/>
      <c r="T134" s="9"/>
      <c r="U134" s="102"/>
      <c r="V134" s="7"/>
      <c r="W134" s="9"/>
      <c r="X134" s="102"/>
      <c r="Y134" s="7"/>
      <c r="Z134" s="9"/>
      <c r="AA134" s="102"/>
      <c r="AB134" s="7"/>
      <c r="AC134" s="9"/>
      <c r="AD134" s="99"/>
      <c r="AE134" s="7"/>
      <c r="AF134" s="9"/>
      <c r="AG134" s="94"/>
      <c r="AH134" s="7"/>
      <c r="AI134" s="94"/>
      <c r="AJ134" s="7"/>
      <c r="AK134" s="9"/>
      <c r="AL134" s="9"/>
      <c r="AM134" s="9"/>
      <c r="AN134" s="9"/>
      <c r="AO134" s="7">
        <v>52217.59</v>
      </c>
      <c r="AP134" s="72">
        <v>1.9897</v>
      </c>
      <c r="AQ134" s="72">
        <v>1.4497</v>
      </c>
      <c r="AR134" s="72">
        <v>3.9798</v>
      </c>
      <c r="AS134" s="72"/>
      <c r="AT134" s="99">
        <v>1.1399999999999999</v>
      </c>
      <c r="AU134" s="7">
        <v>5130</v>
      </c>
      <c r="AV134" s="138">
        <v>3502.44</v>
      </c>
      <c r="AW134" s="143"/>
    </row>
    <row r="135" spans="1:50" ht="18.75" customHeight="1" x14ac:dyDescent="0.25">
      <c r="A135" s="404"/>
      <c r="B135" s="211" t="s">
        <v>11</v>
      </c>
      <c r="C135" s="119"/>
      <c r="D135" s="7"/>
      <c r="E135" s="9"/>
      <c r="F135" s="91">
        <v>11.53</v>
      </c>
      <c r="G135" s="7">
        <v>14121.37</v>
      </c>
      <c r="H135" s="9">
        <v>14742.19</v>
      </c>
      <c r="I135" s="96">
        <v>17.38</v>
      </c>
      <c r="J135" s="105">
        <v>30080.44</v>
      </c>
      <c r="K135" s="117">
        <v>23522.44</v>
      </c>
      <c r="L135" s="108">
        <v>17.809999999999999</v>
      </c>
      <c r="M135" s="7">
        <v>21534.1</v>
      </c>
      <c r="N135" s="9">
        <v>46329.36</v>
      </c>
      <c r="O135" s="102">
        <v>1.68</v>
      </c>
      <c r="P135" s="7">
        <v>1159.2</v>
      </c>
      <c r="Q135" s="9">
        <v>3922.3</v>
      </c>
      <c r="R135" s="102"/>
      <c r="S135" s="7"/>
      <c r="T135" s="9"/>
      <c r="U135" s="102"/>
      <c r="V135" s="7"/>
      <c r="W135" s="9"/>
      <c r="X135" s="102"/>
      <c r="Y135" s="7"/>
      <c r="Z135" s="9"/>
      <c r="AA135" s="102"/>
      <c r="AB135" s="7"/>
      <c r="AC135" s="9"/>
      <c r="AD135" s="99"/>
      <c r="AE135" s="7"/>
      <c r="AF135" s="9"/>
      <c r="AG135" s="94"/>
      <c r="AH135" s="7"/>
      <c r="AI135" s="94"/>
      <c r="AJ135" s="7"/>
      <c r="AK135" s="9"/>
      <c r="AL135" s="9"/>
      <c r="AM135" s="9">
        <v>10456.700000000001</v>
      </c>
      <c r="AN135" s="9"/>
      <c r="AO135" s="7">
        <v>52510.27</v>
      </c>
      <c r="AP135" s="72">
        <v>1.2112000000000001</v>
      </c>
      <c r="AQ135" s="72">
        <v>4.1665999999999999</v>
      </c>
      <c r="AR135" s="72">
        <v>3.2338</v>
      </c>
      <c r="AS135" s="72"/>
      <c r="AT135" s="99">
        <v>1.36</v>
      </c>
      <c r="AU135" s="7">
        <v>6120</v>
      </c>
      <c r="AV135" s="138">
        <v>3502.44</v>
      </c>
      <c r="AW135" s="143">
        <v>893</v>
      </c>
    </row>
    <row r="136" spans="1:50" ht="18.75" customHeight="1" x14ac:dyDescent="0.25">
      <c r="A136" s="404"/>
      <c r="B136" s="211" t="s">
        <v>12</v>
      </c>
      <c r="C136" s="119"/>
      <c r="D136" s="7"/>
      <c r="E136" s="9"/>
      <c r="F136" s="91">
        <v>26.94</v>
      </c>
      <c r="G136" s="7">
        <v>32994.769999999997</v>
      </c>
      <c r="H136" s="9">
        <v>35600.199999999997</v>
      </c>
      <c r="I136" s="96">
        <v>7.45</v>
      </c>
      <c r="J136" s="105">
        <v>12894.09</v>
      </c>
      <c r="K136" s="117">
        <v>14175.36</v>
      </c>
      <c r="L136" s="108">
        <v>14.61</v>
      </c>
      <c r="M136" s="7">
        <v>17810.39</v>
      </c>
      <c r="N136" s="9">
        <v>35209.32</v>
      </c>
      <c r="O136" s="102">
        <v>2.1</v>
      </c>
      <c r="P136" s="7">
        <v>1449</v>
      </c>
      <c r="Q136" s="9">
        <v>4546.0600000000004</v>
      </c>
      <c r="R136" s="102"/>
      <c r="S136" s="7"/>
      <c r="T136" s="9"/>
      <c r="U136" s="102"/>
      <c r="V136" s="7"/>
      <c r="W136" s="9"/>
      <c r="X136" s="102"/>
      <c r="Y136" s="7"/>
      <c r="Z136" s="9"/>
      <c r="AA136" s="102"/>
      <c r="AB136" s="7"/>
      <c r="AC136" s="9"/>
      <c r="AD136" s="99"/>
      <c r="AE136" s="7"/>
      <c r="AF136" s="9"/>
      <c r="AG136" s="94"/>
      <c r="AH136" s="7"/>
      <c r="AI136" s="94"/>
      <c r="AJ136" s="7"/>
      <c r="AK136" s="9"/>
      <c r="AL136" s="9"/>
      <c r="AM136" s="9"/>
      <c r="AN136" s="9"/>
      <c r="AO136" s="7">
        <v>37520.99</v>
      </c>
      <c r="AP136" s="72">
        <v>1.3757999999999999</v>
      </c>
      <c r="AQ136" s="72">
        <v>1.7352000000000001</v>
      </c>
      <c r="AR136" s="72">
        <v>3.5114000000000001</v>
      </c>
      <c r="AS136" s="72"/>
      <c r="AT136" s="99">
        <v>1.56</v>
      </c>
      <c r="AU136" s="7">
        <v>7020</v>
      </c>
      <c r="AV136" s="138">
        <v>4234.18</v>
      </c>
      <c r="AW136" s="143">
        <v>300</v>
      </c>
    </row>
    <row r="137" spans="1:50" ht="18.75" customHeight="1" x14ac:dyDescent="0.25">
      <c r="A137" s="404"/>
      <c r="B137" s="211" t="s">
        <v>13</v>
      </c>
      <c r="C137" s="119"/>
      <c r="D137" s="7"/>
      <c r="E137" s="9"/>
      <c r="F137" s="91">
        <v>22.35</v>
      </c>
      <c r="G137" s="7">
        <v>27373.11</v>
      </c>
      <c r="H137" s="9">
        <v>28600.84</v>
      </c>
      <c r="I137" s="96"/>
      <c r="J137" s="105"/>
      <c r="K137" s="117"/>
      <c r="L137" s="108">
        <v>8.82</v>
      </c>
      <c r="M137" s="7">
        <v>7170.94</v>
      </c>
      <c r="N137" s="9">
        <v>20484.37</v>
      </c>
      <c r="O137" s="102">
        <v>1.87</v>
      </c>
      <c r="P137" s="7">
        <v>1290.3</v>
      </c>
      <c r="Q137" s="9">
        <v>4744.09</v>
      </c>
      <c r="R137" s="102"/>
      <c r="S137" s="7"/>
      <c r="T137" s="9"/>
      <c r="U137" s="102"/>
      <c r="V137" s="7"/>
      <c r="W137" s="9"/>
      <c r="X137" s="102"/>
      <c r="Y137" s="7"/>
      <c r="Z137" s="9"/>
      <c r="AA137" s="102"/>
      <c r="AB137" s="7"/>
      <c r="AC137" s="9"/>
      <c r="AD137" s="99"/>
      <c r="AE137" s="7"/>
      <c r="AF137" s="9"/>
      <c r="AG137" s="94"/>
      <c r="AH137" s="7"/>
      <c r="AI137" s="94"/>
      <c r="AJ137" s="7"/>
      <c r="AK137" s="9"/>
      <c r="AL137" s="9"/>
      <c r="AM137" s="9"/>
      <c r="AN137" s="301">
        <v>181358.5</v>
      </c>
      <c r="AO137" s="7">
        <v>37886.81</v>
      </c>
      <c r="AP137" s="72">
        <v>1.3614999999999999</v>
      </c>
      <c r="AQ137" s="72">
        <v>2.3761999999999999</v>
      </c>
      <c r="AR137" s="72">
        <v>3.0415000000000001</v>
      </c>
      <c r="AS137" s="72"/>
      <c r="AT137" s="99">
        <v>1.56</v>
      </c>
      <c r="AU137" s="7">
        <v>7020</v>
      </c>
      <c r="AV137" s="138">
        <v>3502.44</v>
      </c>
      <c r="AW137" s="143">
        <v>346</v>
      </c>
    </row>
    <row r="138" spans="1:50" ht="18.75" customHeight="1" thickBot="1" x14ac:dyDescent="0.3">
      <c r="A138" s="404"/>
      <c r="B138" s="212" t="s">
        <v>14</v>
      </c>
      <c r="C138" s="120"/>
      <c r="D138" s="88"/>
      <c r="E138" s="89"/>
      <c r="F138" s="92">
        <v>6.56</v>
      </c>
      <c r="G138" s="88">
        <v>8034.36</v>
      </c>
      <c r="H138" s="89">
        <v>10037.77</v>
      </c>
      <c r="I138" s="97">
        <v>2</v>
      </c>
      <c r="J138" s="105">
        <v>3641.5</v>
      </c>
      <c r="K138" s="121">
        <v>4801.0200000000004</v>
      </c>
      <c r="L138" s="109">
        <v>2.0699999999999998</v>
      </c>
      <c r="M138" s="88">
        <v>2689.97</v>
      </c>
      <c r="N138" s="89">
        <v>4546.0600000000004</v>
      </c>
      <c r="O138" s="103"/>
      <c r="P138" s="88"/>
      <c r="Q138" s="89"/>
      <c r="R138" s="103"/>
      <c r="S138" s="88"/>
      <c r="T138" s="89"/>
      <c r="U138" s="103"/>
      <c r="V138" s="88"/>
      <c r="W138" s="89"/>
      <c r="X138" s="103"/>
      <c r="Y138" s="88"/>
      <c r="Z138" s="89"/>
      <c r="AA138" s="103">
        <v>1.41</v>
      </c>
      <c r="AB138" s="88"/>
      <c r="AC138" s="89">
        <v>4999.05</v>
      </c>
      <c r="AD138" s="100"/>
      <c r="AE138" s="88"/>
      <c r="AF138" s="89"/>
      <c r="AG138" s="95"/>
      <c r="AH138" s="62"/>
      <c r="AI138" s="95"/>
      <c r="AJ138" s="88"/>
      <c r="AK138" s="89"/>
      <c r="AL138" s="65"/>
      <c r="AM138" s="65">
        <v>10020.450000000001</v>
      </c>
      <c r="AN138" s="65"/>
      <c r="AO138" s="62">
        <v>31394.6</v>
      </c>
      <c r="AP138" s="73">
        <v>1.4300999999999999</v>
      </c>
      <c r="AQ138" s="73">
        <v>2.0706000000000002</v>
      </c>
      <c r="AR138" s="73"/>
      <c r="AS138" s="73"/>
      <c r="AT138" s="100"/>
      <c r="AU138" s="88"/>
      <c r="AV138" s="139"/>
      <c r="AW138" s="144"/>
    </row>
    <row r="139" spans="1:50" ht="18.75" customHeight="1" thickBot="1" x14ac:dyDescent="0.3">
      <c r="A139" s="404"/>
      <c r="B139" s="213" t="s">
        <v>15</v>
      </c>
      <c r="C139" s="122">
        <f t="shared" ref="C139:V139" si="27">SUM(C127:C138)</f>
        <v>0</v>
      </c>
      <c r="D139" s="124">
        <f t="shared" si="27"/>
        <v>0</v>
      </c>
      <c r="E139" s="124">
        <f t="shared" si="27"/>
        <v>0</v>
      </c>
      <c r="F139" s="123">
        <f t="shared" si="27"/>
        <v>67.38</v>
      </c>
      <c r="G139" s="124">
        <f t="shared" si="27"/>
        <v>82523.61</v>
      </c>
      <c r="H139" s="124">
        <f t="shared" si="27"/>
        <v>88981</v>
      </c>
      <c r="I139" s="123">
        <f t="shared" si="27"/>
        <v>218.70999999999998</v>
      </c>
      <c r="J139" s="124">
        <f t="shared" si="27"/>
        <v>409877.10600000003</v>
      </c>
      <c r="K139" s="157">
        <f t="shared" si="27"/>
        <v>311266.22499999998</v>
      </c>
      <c r="L139" s="158">
        <f t="shared" si="27"/>
        <v>121.94999999999999</v>
      </c>
      <c r="M139" s="67">
        <f t="shared" si="27"/>
        <v>138590.54999999999</v>
      </c>
      <c r="N139" s="67">
        <f t="shared" si="27"/>
        <v>262085.43</v>
      </c>
      <c r="O139" s="159">
        <f t="shared" si="27"/>
        <v>29.6</v>
      </c>
      <c r="P139" s="67">
        <f t="shared" si="27"/>
        <v>20424</v>
      </c>
      <c r="Q139" s="67">
        <f t="shared" si="27"/>
        <v>68396.569999999992</v>
      </c>
      <c r="R139" s="69">
        <f t="shared" si="27"/>
        <v>0</v>
      </c>
      <c r="S139" s="67">
        <f t="shared" si="27"/>
        <v>0</v>
      </c>
      <c r="T139" s="67">
        <f t="shared" si="27"/>
        <v>0</v>
      </c>
      <c r="U139" s="69">
        <f t="shared" si="27"/>
        <v>0</v>
      </c>
      <c r="V139" s="67">
        <f t="shared" si="27"/>
        <v>0</v>
      </c>
      <c r="W139" s="67">
        <f>SUM(W127:W138)</f>
        <v>0</v>
      </c>
      <c r="X139" s="69">
        <f t="shared" ref="X139:AD139" si="28">SUM(X127:X138)</f>
        <v>0</v>
      </c>
      <c r="Y139" s="67">
        <f t="shared" si="28"/>
        <v>0</v>
      </c>
      <c r="Z139" s="67">
        <f t="shared" si="28"/>
        <v>0</v>
      </c>
      <c r="AA139" s="69">
        <f t="shared" si="28"/>
        <v>4.01</v>
      </c>
      <c r="AB139" s="67">
        <f t="shared" si="28"/>
        <v>0</v>
      </c>
      <c r="AC139" s="67">
        <f t="shared" si="28"/>
        <v>14289.21</v>
      </c>
      <c r="AD139" s="68">
        <f t="shared" si="28"/>
        <v>2.827</v>
      </c>
      <c r="AE139" s="67">
        <f>SUM(AE127:AE138)</f>
        <v>38473.56</v>
      </c>
      <c r="AF139" s="67">
        <f>SUM(AF127:AF138)</f>
        <v>5244</v>
      </c>
      <c r="AG139" s="68">
        <f t="shared" ref="AG139:AK139" si="29">SUM(AG127:AG138)</f>
        <v>0</v>
      </c>
      <c r="AH139" s="67">
        <f t="shared" si="29"/>
        <v>0</v>
      </c>
      <c r="AI139" s="68">
        <f t="shared" si="29"/>
        <v>0</v>
      </c>
      <c r="AJ139" s="173">
        <f t="shared" si="29"/>
        <v>0</v>
      </c>
      <c r="AK139" s="174">
        <f t="shared" si="29"/>
        <v>0</v>
      </c>
      <c r="AL139" s="71"/>
      <c r="AM139" s="71">
        <f t="shared" ref="AM139:AP139" si="30">SUM(AM127:AM138)</f>
        <v>35445.15</v>
      </c>
      <c r="AN139" s="71">
        <f t="shared" si="30"/>
        <v>605454</v>
      </c>
      <c r="AO139" s="67">
        <f t="shared" si="30"/>
        <v>515413.8</v>
      </c>
      <c r="AP139" s="74">
        <f t="shared" si="30"/>
        <v>16.081999999999997</v>
      </c>
      <c r="AQ139" s="74">
        <f>SUM(AQ127:AQ138)</f>
        <v>27.681199999999997</v>
      </c>
      <c r="AR139" s="74">
        <f t="shared" ref="AR139:AU139" si="31">SUM(AR127:AR138)</f>
        <v>41.044200000000004</v>
      </c>
      <c r="AS139" s="74">
        <f t="shared" si="31"/>
        <v>0</v>
      </c>
      <c r="AT139" s="68">
        <f t="shared" si="31"/>
        <v>15.120000000000001</v>
      </c>
      <c r="AU139" s="67">
        <f t="shared" si="31"/>
        <v>72810</v>
      </c>
      <c r="AV139" s="140">
        <f>SUM(AV127:AV138)</f>
        <v>35756.129999999997</v>
      </c>
      <c r="AW139" s="136">
        <f t="shared" ref="AW139" si="32">SUM(AW127:AW138)</f>
        <v>3027</v>
      </c>
    </row>
    <row r="140" spans="1:50" ht="18.75" customHeight="1" thickBot="1" x14ac:dyDescent="0.3">
      <c r="A140" s="404"/>
      <c r="B140" s="200"/>
      <c r="C140" s="156"/>
      <c r="D140" s="380">
        <f>SUM(E139+D139)</f>
        <v>0</v>
      </c>
      <c r="E140" s="381"/>
      <c r="F140" s="156"/>
      <c r="G140" s="380">
        <f>SUM(H139+G139)</f>
        <v>171504.61</v>
      </c>
      <c r="H140" s="381"/>
      <c r="I140" s="156"/>
      <c r="J140" s="380">
        <f>SUM(K139+J139)</f>
        <v>721143.33100000001</v>
      </c>
      <c r="K140" s="381"/>
      <c r="L140" s="160"/>
      <c r="M140" s="380">
        <f>SUM(N139+M139)</f>
        <v>400675.98</v>
      </c>
      <c r="N140" s="381"/>
      <c r="O140" s="160"/>
      <c r="P140" s="380">
        <f>SUM(Q139+P139)</f>
        <v>88820.569999999992</v>
      </c>
      <c r="Q140" s="381"/>
      <c r="R140" s="160"/>
      <c r="S140" s="380">
        <f>SUM(T139+S139)</f>
        <v>0</v>
      </c>
      <c r="T140" s="381"/>
      <c r="U140" s="160"/>
      <c r="V140" s="380">
        <f>SUM(W139+V139)</f>
        <v>0</v>
      </c>
      <c r="W140" s="381"/>
      <c r="X140" s="160"/>
      <c r="Y140" s="380">
        <f>SUM(Z139+Y139)</f>
        <v>0</v>
      </c>
      <c r="Z140" s="381"/>
      <c r="AA140" s="160"/>
      <c r="AB140" s="380">
        <f>SUM(AC139+AB139)</f>
        <v>14289.21</v>
      </c>
      <c r="AC140" s="381"/>
      <c r="AD140" s="162"/>
      <c r="AE140" s="380">
        <f>SUM(AF139+AE139)</f>
        <v>43717.56</v>
      </c>
      <c r="AF140" s="381"/>
      <c r="AG140" s="161"/>
      <c r="AH140" s="124"/>
      <c r="AI140" s="169"/>
      <c r="AJ140" s="171"/>
      <c r="AK140" s="172"/>
      <c r="AL140" s="170"/>
      <c r="AM140" s="127"/>
      <c r="AN140" s="127"/>
      <c r="AO140" s="124"/>
      <c r="AP140" s="128"/>
      <c r="AQ140" s="128"/>
      <c r="AR140" s="129"/>
      <c r="AS140" s="130"/>
      <c r="AT140" s="126"/>
      <c r="AU140" s="124"/>
      <c r="AV140" s="125"/>
      <c r="AW140" s="148"/>
    </row>
    <row r="141" spans="1:50" ht="18.75" customHeight="1" thickBot="1" x14ac:dyDescent="0.3">
      <c r="A141" s="411"/>
      <c r="B141" s="192"/>
      <c r="C141" s="182"/>
      <c r="D141" s="193"/>
      <c r="E141" s="177"/>
      <c r="F141" s="177">
        <v>1224.75</v>
      </c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54"/>
      <c r="AM141" s="154"/>
      <c r="AN141" s="154"/>
      <c r="AO141" s="151"/>
      <c r="AP141" s="155"/>
      <c r="AQ141" s="155"/>
      <c r="AR141" s="155"/>
      <c r="AS141" s="155"/>
      <c r="AT141" s="152"/>
      <c r="AU141" s="151"/>
      <c r="AV141" s="151"/>
      <c r="AW141" s="133"/>
    </row>
    <row r="142" spans="1:50" ht="18.75" customHeight="1" x14ac:dyDescent="0.35">
      <c r="A142" s="412"/>
      <c r="B142" s="358" t="s">
        <v>212</v>
      </c>
      <c r="C142" s="356"/>
      <c r="D142" s="356"/>
      <c r="E142" s="356"/>
      <c r="F142" s="357"/>
      <c r="G142" s="177"/>
      <c r="H142" s="358" t="s">
        <v>228</v>
      </c>
      <c r="I142" s="356"/>
      <c r="J142" s="356"/>
      <c r="K142" s="356"/>
      <c r="L142" s="359"/>
      <c r="M142" s="236"/>
      <c r="N142" s="237"/>
      <c r="O142" s="177"/>
      <c r="P142" s="360" t="s">
        <v>231</v>
      </c>
      <c r="Q142" s="361"/>
      <c r="R142" s="362"/>
      <c r="S142" s="177"/>
      <c r="T142" s="363" t="s">
        <v>238</v>
      </c>
      <c r="U142" s="364"/>
      <c r="V142" s="365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54"/>
      <c r="AM142" s="154"/>
      <c r="AN142" s="154"/>
      <c r="AO142" s="151"/>
      <c r="AP142" s="155"/>
      <c r="AQ142" s="155"/>
      <c r="AR142" s="155"/>
      <c r="AS142" s="155"/>
      <c r="AT142" s="152"/>
      <c r="AU142" s="151"/>
      <c r="AV142" s="151"/>
      <c r="AW142" s="133"/>
    </row>
    <row r="143" spans="1:50" ht="18.75" customHeight="1" thickBot="1" x14ac:dyDescent="0.3">
      <c r="A143" s="412"/>
      <c r="B143" s="217" t="s">
        <v>256</v>
      </c>
      <c r="C143" s="214"/>
      <c r="D143" s="214"/>
      <c r="E143" s="214"/>
      <c r="F143" s="218"/>
      <c r="G143" s="177"/>
      <c r="H143" s="217" t="s">
        <v>256</v>
      </c>
      <c r="I143" s="223"/>
      <c r="J143" s="223"/>
      <c r="K143" s="223"/>
      <c r="L143" s="223"/>
      <c r="M143" s="255"/>
      <c r="N143" s="256"/>
      <c r="O143" s="177"/>
      <c r="P143" s="366" t="s">
        <v>256</v>
      </c>
      <c r="Q143" s="367"/>
      <c r="R143" s="368"/>
      <c r="S143" s="267"/>
      <c r="T143" s="86" t="s">
        <v>239</v>
      </c>
      <c r="U143" s="20" t="s">
        <v>240</v>
      </c>
      <c r="V143" s="14" t="s">
        <v>133</v>
      </c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54"/>
      <c r="AM143" s="154"/>
      <c r="AN143" s="154"/>
      <c r="AO143" s="151"/>
      <c r="AP143" s="155"/>
      <c r="AQ143" s="155"/>
      <c r="AR143" s="155"/>
      <c r="AS143" s="155"/>
      <c r="AT143" s="152"/>
      <c r="AU143" s="151"/>
      <c r="AV143" s="151"/>
      <c r="AW143" s="133"/>
      <c r="AX143" s="133"/>
    </row>
    <row r="144" spans="1:50" ht="18.75" customHeight="1" thickBot="1" x14ac:dyDescent="0.3">
      <c r="A144" s="412"/>
      <c r="B144" s="219" t="s">
        <v>0</v>
      </c>
      <c r="C144" s="220" t="s">
        <v>213</v>
      </c>
      <c r="D144" s="220" t="s">
        <v>214</v>
      </c>
      <c r="E144" s="220" t="s">
        <v>170</v>
      </c>
      <c r="F144" s="221" t="s">
        <v>215</v>
      </c>
      <c r="G144" s="177"/>
      <c r="H144" s="244" t="s">
        <v>0</v>
      </c>
      <c r="I144" s="246" t="s">
        <v>224</v>
      </c>
      <c r="J144" s="259" t="s">
        <v>225</v>
      </c>
      <c r="K144" s="246" t="s">
        <v>226</v>
      </c>
      <c r="L144" s="247" t="s">
        <v>229</v>
      </c>
      <c r="M144" s="262" t="s">
        <v>227</v>
      </c>
      <c r="N144" s="247" t="s">
        <v>225</v>
      </c>
      <c r="O144" s="177"/>
      <c r="P144" s="277" t="s">
        <v>0</v>
      </c>
      <c r="Q144" s="273" t="s">
        <v>224</v>
      </c>
      <c r="R144" s="247" t="s">
        <v>225</v>
      </c>
      <c r="S144" s="177"/>
      <c r="T144" s="290" t="s">
        <v>151</v>
      </c>
      <c r="U144" s="291" t="s">
        <v>151</v>
      </c>
      <c r="V144" s="292" t="s">
        <v>1</v>
      </c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54"/>
      <c r="AM144" s="154"/>
      <c r="AN144" s="154"/>
      <c r="AO144" s="151"/>
      <c r="AP144" s="155"/>
      <c r="AQ144" s="155"/>
      <c r="AR144" s="155"/>
      <c r="AS144" s="155"/>
      <c r="AT144" s="152"/>
      <c r="AU144" s="151"/>
      <c r="AV144" s="151"/>
      <c r="AW144" s="133"/>
      <c r="AX144" s="133"/>
    </row>
    <row r="145" spans="1:50" ht="18.75" customHeight="1" x14ac:dyDescent="0.25">
      <c r="A145" s="412"/>
      <c r="B145" s="222"/>
      <c r="C145" s="223"/>
      <c r="D145" s="224" t="s">
        <v>2</v>
      </c>
      <c r="E145" s="224" t="s">
        <v>1</v>
      </c>
      <c r="F145" s="225"/>
      <c r="G145" s="177"/>
      <c r="H145" s="245"/>
      <c r="I145" s="369" t="s">
        <v>230</v>
      </c>
      <c r="J145" s="370"/>
      <c r="K145" s="371" t="s">
        <v>230</v>
      </c>
      <c r="L145" s="370"/>
      <c r="M145" s="372" t="s">
        <v>230</v>
      </c>
      <c r="N145" s="370"/>
      <c r="O145" s="177"/>
      <c r="P145" s="278"/>
      <c r="Q145" s="373" t="s">
        <v>232</v>
      </c>
      <c r="R145" s="374"/>
      <c r="S145" s="177"/>
      <c r="T145" s="101"/>
      <c r="U145" s="3"/>
      <c r="V145" s="21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54"/>
      <c r="AM145" s="154"/>
      <c r="AN145" s="154"/>
      <c r="AO145" s="151"/>
      <c r="AP145" s="155"/>
      <c r="AQ145" s="155"/>
      <c r="AR145" s="155"/>
      <c r="AS145" s="155"/>
      <c r="AT145" s="152"/>
      <c r="AU145" s="151"/>
      <c r="AV145" s="151"/>
      <c r="AW145" s="133"/>
      <c r="AX145" s="133"/>
    </row>
    <row r="146" spans="1:50" ht="18.75" customHeight="1" x14ac:dyDescent="0.25">
      <c r="A146" s="412"/>
      <c r="B146" s="215" t="s">
        <v>3</v>
      </c>
      <c r="C146" s="214">
        <v>38.49</v>
      </c>
      <c r="D146" s="226">
        <f>F141*C146</f>
        <v>47140.627500000002</v>
      </c>
      <c r="E146" s="226">
        <v>140661.70000000001</v>
      </c>
      <c r="F146" s="218"/>
      <c r="G146" s="177"/>
      <c r="H146" s="245" t="s">
        <v>245</v>
      </c>
      <c r="I146" s="248">
        <v>2.14</v>
      </c>
      <c r="J146" s="260">
        <v>5955.62</v>
      </c>
      <c r="K146" s="266">
        <v>2.69</v>
      </c>
      <c r="L146" s="238">
        <v>538</v>
      </c>
      <c r="M146" s="251">
        <v>15.36</v>
      </c>
      <c r="N146" s="238">
        <v>42216.959999999999</v>
      </c>
      <c r="O146" s="177"/>
      <c r="P146" s="278" t="s">
        <v>245</v>
      </c>
      <c r="Q146" s="274">
        <v>0.86</v>
      </c>
      <c r="R146" s="268">
        <v>21507.439999999999</v>
      </c>
      <c r="S146" s="177"/>
      <c r="T146" s="102"/>
      <c r="U146" s="7"/>
      <c r="V146" s="9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54"/>
      <c r="AM146" s="154"/>
      <c r="AN146" s="154"/>
      <c r="AO146" s="151"/>
      <c r="AP146" s="155"/>
      <c r="AQ146" s="155"/>
      <c r="AR146" s="155"/>
      <c r="AS146" s="155"/>
      <c r="AT146" s="152"/>
      <c r="AU146" s="151"/>
      <c r="AV146" s="151"/>
      <c r="AW146" s="133"/>
      <c r="AX146" s="133"/>
    </row>
    <row r="147" spans="1:50" ht="18.75" customHeight="1" x14ac:dyDescent="0.25">
      <c r="A147" s="412"/>
      <c r="B147" s="215" t="s">
        <v>4</v>
      </c>
      <c r="C147" s="214">
        <v>29.94</v>
      </c>
      <c r="D147" s="226">
        <f>F141*C147</f>
        <v>36669.014999999999</v>
      </c>
      <c r="E147" s="226">
        <v>111958.8</v>
      </c>
      <c r="F147" s="218"/>
      <c r="G147" s="177"/>
      <c r="H147" s="245" t="s">
        <v>4</v>
      </c>
      <c r="I147" s="248">
        <v>1.61</v>
      </c>
      <c r="J147" s="260">
        <v>4480.63</v>
      </c>
      <c r="K147" s="266">
        <v>1.94</v>
      </c>
      <c r="L147" s="238">
        <v>388</v>
      </c>
      <c r="M147" s="251">
        <v>13.37</v>
      </c>
      <c r="N147" s="238">
        <v>36747.440000000002</v>
      </c>
      <c r="O147" s="177"/>
      <c r="P147" s="278" t="s">
        <v>4</v>
      </c>
      <c r="Q147" s="274">
        <v>1.32</v>
      </c>
      <c r="R147" s="268">
        <v>22184.63</v>
      </c>
      <c r="S147" s="177"/>
      <c r="T147" s="102"/>
      <c r="U147" s="7"/>
      <c r="V147" s="9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54"/>
      <c r="AM147" s="154"/>
      <c r="AN147" s="154"/>
      <c r="AO147" s="151"/>
      <c r="AP147" s="155"/>
      <c r="AQ147" s="155"/>
      <c r="AR147" s="155"/>
      <c r="AS147" s="155"/>
      <c r="AT147" s="152"/>
      <c r="AU147" s="151"/>
      <c r="AV147" s="151"/>
      <c r="AW147" s="133"/>
      <c r="AX147" s="133"/>
    </row>
    <row r="148" spans="1:50" ht="18.75" customHeight="1" x14ac:dyDescent="0.25">
      <c r="A148" s="412"/>
      <c r="B148" s="215" t="s">
        <v>5</v>
      </c>
      <c r="C148" s="214">
        <v>31.55</v>
      </c>
      <c r="D148" s="226">
        <f>C148*F141</f>
        <v>38640.862500000003</v>
      </c>
      <c r="E148" s="226">
        <v>108130.5</v>
      </c>
      <c r="F148" s="218"/>
      <c r="G148" s="177"/>
      <c r="H148" s="245" t="s">
        <v>246</v>
      </c>
      <c r="I148" s="248">
        <v>2.99</v>
      </c>
      <c r="J148" s="260">
        <v>8321.17</v>
      </c>
      <c r="K148" s="266">
        <v>2.2999999999999998</v>
      </c>
      <c r="L148" s="238">
        <v>460</v>
      </c>
      <c r="M148" s="251">
        <v>17.09</v>
      </c>
      <c r="N148" s="238">
        <v>46971.86</v>
      </c>
      <c r="O148" s="177"/>
      <c r="P148" s="278" t="s">
        <v>246</v>
      </c>
      <c r="Q148" s="274">
        <v>1.22</v>
      </c>
      <c r="R148" s="268">
        <v>22165.56</v>
      </c>
      <c r="S148" s="177"/>
      <c r="T148" s="102"/>
      <c r="U148" s="7"/>
      <c r="V148" s="9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54"/>
      <c r="AM148" s="154"/>
      <c r="AN148" s="154"/>
      <c r="AO148" s="151"/>
      <c r="AP148" s="155"/>
      <c r="AQ148" s="155"/>
      <c r="AR148" s="155"/>
      <c r="AS148" s="155"/>
      <c r="AT148" s="152"/>
      <c r="AU148" s="151"/>
      <c r="AV148" s="151"/>
      <c r="AW148" s="133"/>
      <c r="AX148" s="133"/>
    </row>
    <row r="149" spans="1:50" ht="18.75" customHeight="1" x14ac:dyDescent="0.25">
      <c r="A149" s="412"/>
      <c r="B149" s="215" t="s">
        <v>6</v>
      </c>
      <c r="C149" s="214">
        <v>31.97</v>
      </c>
      <c r="D149" s="226">
        <f>C149*F141</f>
        <v>39155.2575</v>
      </c>
      <c r="E149" s="226">
        <v>108706.1</v>
      </c>
      <c r="F149" s="218"/>
      <c r="G149" s="177"/>
      <c r="H149" s="245" t="s">
        <v>247</v>
      </c>
      <c r="I149" s="248">
        <v>2.42</v>
      </c>
      <c r="J149" s="260">
        <v>7152.31</v>
      </c>
      <c r="K149" s="266">
        <v>1.6</v>
      </c>
      <c r="L149" s="238">
        <v>320</v>
      </c>
      <c r="M149" s="251">
        <v>19.43</v>
      </c>
      <c r="N149" s="238">
        <v>53403.35</v>
      </c>
      <c r="O149" s="177"/>
      <c r="P149" s="278" t="s">
        <v>247</v>
      </c>
      <c r="Q149" s="274">
        <v>1.4</v>
      </c>
      <c r="R149" s="268">
        <v>22386.06</v>
      </c>
      <c r="S149" s="177"/>
      <c r="T149" s="102"/>
      <c r="U149" s="7"/>
      <c r="V149" s="9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54"/>
      <c r="AM149" s="154"/>
      <c r="AN149" s="154"/>
      <c r="AO149" s="151"/>
      <c r="AP149" s="155"/>
      <c r="AQ149" s="155"/>
      <c r="AR149" s="155"/>
      <c r="AS149" s="155"/>
      <c r="AT149" s="152"/>
      <c r="AU149" s="151"/>
      <c r="AV149" s="151"/>
      <c r="AW149" s="133"/>
      <c r="AX149" s="133"/>
    </row>
    <row r="150" spans="1:50" ht="18.75" customHeight="1" x14ac:dyDescent="0.25">
      <c r="A150" s="412"/>
      <c r="B150" s="215" t="s">
        <v>7</v>
      </c>
      <c r="C150" s="214">
        <v>38.340000000000003</v>
      </c>
      <c r="D150" s="226">
        <f>C150*F141</f>
        <v>46956.915000000001</v>
      </c>
      <c r="E150" s="226">
        <v>136589.5</v>
      </c>
      <c r="F150" s="218"/>
      <c r="G150" s="177"/>
      <c r="H150" s="245" t="s">
        <v>248</v>
      </c>
      <c r="I150" s="248">
        <v>4.21</v>
      </c>
      <c r="J150" s="260">
        <v>11716.43</v>
      </c>
      <c r="K150" s="266">
        <v>2.2000000000000002</v>
      </c>
      <c r="L150" s="238">
        <v>440</v>
      </c>
      <c r="M150" s="251">
        <v>27.4</v>
      </c>
      <c r="N150" s="238">
        <v>75308.899999999994</v>
      </c>
      <c r="O150" s="177"/>
      <c r="P150" s="278" t="s">
        <v>248</v>
      </c>
      <c r="Q150" s="274">
        <v>3.5</v>
      </c>
      <c r="R150" s="268">
        <v>45551.519999999997</v>
      </c>
      <c r="S150" s="177"/>
      <c r="T150" s="102"/>
      <c r="U150" s="7"/>
      <c r="V150" s="9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54"/>
      <c r="AM150" s="154"/>
      <c r="AN150" s="154"/>
      <c r="AO150" s="151"/>
      <c r="AP150" s="155"/>
      <c r="AQ150" s="155"/>
      <c r="AR150" s="155"/>
      <c r="AS150" s="155"/>
      <c r="AT150" s="152"/>
      <c r="AU150" s="151"/>
      <c r="AV150" s="151"/>
      <c r="AW150" s="133"/>
      <c r="AX150" s="133"/>
    </row>
    <row r="151" spans="1:50" ht="18.75" customHeight="1" x14ac:dyDescent="0.25">
      <c r="A151" s="412"/>
      <c r="B151" s="215" t="s">
        <v>8</v>
      </c>
      <c r="C151" s="214">
        <v>31.81</v>
      </c>
      <c r="D151" s="226">
        <f>C151*F141</f>
        <v>38959.297500000001</v>
      </c>
      <c r="E151" s="226">
        <v>107801.60000000001</v>
      </c>
      <c r="F151" s="218"/>
      <c r="G151" s="177"/>
      <c r="H151" s="245" t="s">
        <v>249</v>
      </c>
      <c r="I151" s="248">
        <v>3.54</v>
      </c>
      <c r="J151" s="260">
        <v>9851.82</v>
      </c>
      <c r="K151" s="266">
        <v>2.98</v>
      </c>
      <c r="L151" s="238">
        <v>596</v>
      </c>
      <c r="M151" s="251">
        <v>22.73</v>
      </c>
      <c r="N151" s="238">
        <v>62495.39</v>
      </c>
      <c r="O151" s="177"/>
      <c r="P151" s="278" t="s">
        <v>249</v>
      </c>
      <c r="Q151" s="274">
        <v>1.54</v>
      </c>
      <c r="R151" s="268">
        <v>22561.48</v>
      </c>
      <c r="S151" s="177"/>
      <c r="T151" s="102"/>
      <c r="U151" s="7"/>
      <c r="V151" s="9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54"/>
      <c r="AM151" s="154"/>
      <c r="AN151" s="154"/>
      <c r="AO151" s="151"/>
      <c r="AP151" s="155"/>
      <c r="AQ151" s="155"/>
      <c r="AR151" s="155"/>
      <c r="AS151" s="155"/>
      <c r="AT151" s="152"/>
      <c r="AU151" s="151"/>
      <c r="AV151" s="151"/>
      <c r="AW151" s="133"/>
      <c r="AX151" s="133"/>
    </row>
    <row r="152" spans="1:50" ht="18.75" customHeight="1" x14ac:dyDescent="0.25">
      <c r="A152" s="412"/>
      <c r="B152" s="215" t="s">
        <v>9</v>
      </c>
      <c r="C152" s="214">
        <v>37.450000000000003</v>
      </c>
      <c r="D152" s="226">
        <f>C152*F141</f>
        <v>45866.887500000004</v>
      </c>
      <c r="E152" s="226">
        <v>121760.9</v>
      </c>
      <c r="F152" s="218"/>
      <c r="G152" s="177"/>
      <c r="H152" s="245" t="s">
        <v>250</v>
      </c>
      <c r="I152" s="248">
        <v>3.63</v>
      </c>
      <c r="J152" s="260">
        <v>10102.290000000001</v>
      </c>
      <c r="K152" s="266"/>
      <c r="L152" s="238"/>
      <c r="M152" s="251">
        <v>27.87</v>
      </c>
      <c r="N152" s="238">
        <v>76600.69</v>
      </c>
      <c r="O152" s="177"/>
      <c r="P152" s="278" t="s">
        <v>250</v>
      </c>
      <c r="Q152" s="274">
        <v>1.5</v>
      </c>
      <c r="R152" s="268">
        <v>22491.98</v>
      </c>
      <c r="S152" s="177"/>
      <c r="T152" s="102"/>
      <c r="U152" s="7"/>
      <c r="V152" s="9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54"/>
      <c r="AM152" s="154"/>
      <c r="AN152" s="154"/>
      <c r="AO152" s="151"/>
      <c r="AP152" s="155"/>
      <c r="AQ152" s="155"/>
      <c r="AR152" s="155"/>
      <c r="AS152" s="155"/>
      <c r="AT152" s="152"/>
      <c r="AU152" s="151"/>
      <c r="AV152" s="151"/>
      <c r="AW152" s="133"/>
      <c r="AX152" s="133"/>
    </row>
    <row r="153" spans="1:50" ht="18.75" customHeight="1" x14ac:dyDescent="0.25">
      <c r="A153" s="412"/>
      <c r="B153" s="215" t="s">
        <v>10</v>
      </c>
      <c r="C153" s="214">
        <v>39.590000000000003</v>
      </c>
      <c r="D153" s="226">
        <f>C153*F141</f>
        <v>48487.852500000001</v>
      </c>
      <c r="E153" s="226">
        <v>121901.7</v>
      </c>
      <c r="F153" s="218"/>
      <c r="G153" s="177"/>
      <c r="H153" s="245" t="s">
        <v>251</v>
      </c>
      <c r="I153" s="248">
        <v>4.5199999999999996</v>
      </c>
      <c r="J153" s="260">
        <v>12578.7</v>
      </c>
      <c r="K153" s="266">
        <v>1.94</v>
      </c>
      <c r="L153" s="238">
        <v>388</v>
      </c>
      <c r="M153" s="251">
        <v>30.03</v>
      </c>
      <c r="N153" s="238">
        <v>82537.45</v>
      </c>
      <c r="O153" s="177"/>
      <c r="P153" s="278" t="s">
        <v>251</v>
      </c>
      <c r="Q153" s="274">
        <v>1.76</v>
      </c>
      <c r="R153" s="268">
        <v>22778.21</v>
      </c>
      <c r="S153" s="177"/>
      <c r="T153" s="102"/>
      <c r="U153" s="7"/>
      <c r="V153" s="9"/>
      <c r="W153" s="177"/>
      <c r="X153" s="177"/>
      <c r="Y153" s="177" t="s">
        <v>241</v>
      </c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54"/>
      <c r="AM153" s="154"/>
      <c r="AN153" s="154"/>
      <c r="AO153" s="151"/>
      <c r="AP153" s="155"/>
      <c r="AQ153" s="155"/>
      <c r="AR153" s="155"/>
      <c r="AS153" s="155"/>
      <c r="AT153" s="152"/>
      <c r="AU153" s="151"/>
      <c r="AV153" s="151"/>
      <c r="AW153" s="133"/>
      <c r="AX153" s="133"/>
    </row>
    <row r="154" spans="1:50" ht="18.75" customHeight="1" x14ac:dyDescent="0.25">
      <c r="A154" s="412"/>
      <c r="B154" s="215" t="s">
        <v>11</v>
      </c>
      <c r="C154" s="214">
        <v>36.39</v>
      </c>
      <c r="D154" s="226">
        <f>C154*F141</f>
        <v>44568.652500000004</v>
      </c>
      <c r="E154" s="226">
        <v>113306.6</v>
      </c>
      <c r="F154" s="218"/>
      <c r="G154" s="177"/>
      <c r="H154" s="245" t="s">
        <v>252</v>
      </c>
      <c r="I154" s="248">
        <v>2.94</v>
      </c>
      <c r="J154" s="260">
        <v>8182.02</v>
      </c>
      <c r="K154" s="266">
        <v>3.01</v>
      </c>
      <c r="L154" s="238">
        <v>602</v>
      </c>
      <c r="M154" s="251">
        <v>21.51</v>
      </c>
      <c r="N154" s="238">
        <v>59120.23</v>
      </c>
      <c r="O154" s="177"/>
      <c r="P154" s="278" t="s">
        <v>252</v>
      </c>
      <c r="Q154" s="274">
        <v>1.72</v>
      </c>
      <c r="R154" s="268">
        <v>22743.99</v>
      </c>
      <c r="S154" s="177"/>
      <c r="T154" s="102"/>
      <c r="U154" s="7"/>
      <c r="V154" s="9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54"/>
      <c r="AM154" s="154"/>
      <c r="AN154" s="154"/>
      <c r="AO154" s="151"/>
      <c r="AP154" s="155"/>
      <c r="AQ154" s="155"/>
      <c r="AR154" s="155"/>
      <c r="AS154" s="155"/>
      <c r="AT154" s="152"/>
      <c r="AU154" s="151"/>
      <c r="AV154" s="151"/>
      <c r="AW154" s="133"/>
      <c r="AX154" s="133"/>
    </row>
    <row r="155" spans="1:50" ht="18.75" customHeight="1" x14ac:dyDescent="0.25">
      <c r="A155" s="412"/>
      <c r="B155" s="215" t="s">
        <v>12</v>
      </c>
      <c r="C155" s="214">
        <v>43.44</v>
      </c>
      <c r="D155" s="226">
        <f>C155*F141</f>
        <v>53203.14</v>
      </c>
      <c r="E155" s="226">
        <v>135044.5</v>
      </c>
      <c r="F155" s="218"/>
      <c r="G155" s="177"/>
      <c r="H155" s="245" t="s">
        <v>254</v>
      </c>
      <c r="I155" s="248">
        <v>2.97</v>
      </c>
      <c r="J155" s="260">
        <v>8265.51</v>
      </c>
      <c r="K155" s="266">
        <v>3.07</v>
      </c>
      <c r="L155" s="238">
        <v>614</v>
      </c>
      <c r="M155" s="251">
        <v>24.2</v>
      </c>
      <c r="N155" s="238">
        <v>66513.7</v>
      </c>
      <c r="O155" s="177"/>
      <c r="P155" s="278" t="s">
        <v>253</v>
      </c>
      <c r="Q155" s="274">
        <v>1.82</v>
      </c>
      <c r="R155" s="268">
        <v>22711.49</v>
      </c>
      <c r="S155" s="177"/>
      <c r="T155" s="102">
        <v>3.07</v>
      </c>
      <c r="U155" s="7"/>
      <c r="V155" s="9">
        <v>4546.0600000000004</v>
      </c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54"/>
      <c r="AM155" s="154"/>
      <c r="AN155" s="154"/>
      <c r="AO155" s="151"/>
      <c r="AP155" s="155"/>
      <c r="AQ155" s="155"/>
      <c r="AR155" s="155"/>
      <c r="AS155" s="155"/>
      <c r="AT155" s="152"/>
      <c r="AU155" s="151"/>
      <c r="AV155" s="151"/>
      <c r="AW155" s="133"/>
      <c r="AX155" s="133"/>
    </row>
    <row r="156" spans="1:50" ht="18.75" customHeight="1" x14ac:dyDescent="0.25">
      <c r="A156" s="412"/>
      <c r="B156" s="215" t="s">
        <v>13</v>
      </c>
      <c r="C156" s="227">
        <v>31.59</v>
      </c>
      <c r="D156" s="226">
        <f>C156*F141</f>
        <v>38689.852500000001</v>
      </c>
      <c r="E156" s="226">
        <v>108561.3</v>
      </c>
      <c r="F156" s="218"/>
      <c r="G156" s="177"/>
      <c r="H156" s="245" t="s">
        <v>259</v>
      </c>
      <c r="I156" s="249">
        <v>2.48</v>
      </c>
      <c r="J156" s="260">
        <v>6901.84</v>
      </c>
      <c r="K156" s="266"/>
      <c r="L156" s="238"/>
      <c r="M156" s="251">
        <v>15.72</v>
      </c>
      <c r="N156" s="238">
        <v>43206.42</v>
      </c>
      <c r="O156" s="177"/>
      <c r="P156" s="278" t="s">
        <v>259</v>
      </c>
      <c r="Q156" s="275">
        <v>1.66</v>
      </c>
      <c r="R156" s="268">
        <v>22561.02</v>
      </c>
      <c r="S156" s="177"/>
      <c r="T156" s="102"/>
      <c r="U156" s="7"/>
      <c r="V156" s="9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54"/>
      <c r="AM156" s="154"/>
      <c r="AN156" s="154"/>
      <c r="AO156" s="151"/>
      <c r="AP156" s="155"/>
      <c r="AQ156" s="155"/>
      <c r="AR156" s="155"/>
      <c r="AS156" s="155"/>
      <c r="AT156" s="152"/>
      <c r="AU156" s="151"/>
      <c r="AV156" s="151"/>
      <c r="AW156" s="133"/>
      <c r="AX156" s="133"/>
    </row>
    <row r="157" spans="1:50" ht="18.75" customHeight="1" thickBot="1" x14ac:dyDescent="0.3">
      <c r="A157" s="412"/>
      <c r="B157" s="215" t="s">
        <v>14</v>
      </c>
      <c r="C157" s="214">
        <v>32.159999999999997</v>
      </c>
      <c r="D157" s="226">
        <f>C157*F141</f>
        <v>39387.96</v>
      </c>
      <c r="E157" s="226">
        <v>107211.1</v>
      </c>
      <c r="F157" s="218"/>
      <c r="G157" s="177"/>
      <c r="H157" s="245" t="s">
        <v>260</v>
      </c>
      <c r="I157" s="250">
        <v>1.44</v>
      </c>
      <c r="J157" s="261">
        <v>4007.52</v>
      </c>
      <c r="K157" s="295">
        <v>2.09</v>
      </c>
      <c r="L157" s="254">
        <v>418</v>
      </c>
      <c r="M157" s="263">
        <v>19.5</v>
      </c>
      <c r="N157" s="254">
        <v>53595.75</v>
      </c>
      <c r="O157" s="177"/>
      <c r="P157" s="279" t="s">
        <v>260</v>
      </c>
      <c r="Q157" s="276">
        <v>1.36</v>
      </c>
      <c r="R157" s="269">
        <v>22256.85</v>
      </c>
      <c r="S157" s="177"/>
      <c r="T157" s="15"/>
      <c r="U157" s="17"/>
      <c r="V157" s="78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54"/>
      <c r="AM157" s="154"/>
      <c r="AN157" s="154"/>
      <c r="AO157" s="151"/>
      <c r="AP157" s="155"/>
      <c r="AQ157" s="155"/>
      <c r="AR157" s="155"/>
      <c r="AS157" s="155"/>
      <c r="AT157" s="152"/>
      <c r="AU157" s="151"/>
      <c r="AV157" s="151"/>
      <c r="AW157" s="133"/>
      <c r="AX157" s="133"/>
    </row>
    <row r="158" spans="1:50" ht="18.75" customHeight="1" thickBot="1" x14ac:dyDescent="0.3">
      <c r="A158" s="412"/>
      <c r="B158" s="216" t="s">
        <v>15</v>
      </c>
      <c r="C158" s="228">
        <f>SUM(C146:C157)</f>
        <v>422.71999999999991</v>
      </c>
      <c r="D158" s="229">
        <f>SUM(D146:D157)</f>
        <v>517726.32000000007</v>
      </c>
      <c r="E158" s="229">
        <f>SUM(E146:E157)</f>
        <v>1421634.3</v>
      </c>
      <c r="F158" s="230"/>
      <c r="G158" s="177"/>
      <c r="H158" s="239" t="s">
        <v>15</v>
      </c>
      <c r="I158" s="228">
        <f t="shared" ref="I158:J158" si="33">SUM(I146:I157)</f>
        <v>34.889999999999993</v>
      </c>
      <c r="J158" s="229">
        <f t="shared" si="33"/>
        <v>97515.86</v>
      </c>
      <c r="K158" s="265">
        <f>SUM(K146:K157)</f>
        <v>23.82</v>
      </c>
      <c r="L158" s="252">
        <f t="shared" ref="L158:N158" si="34">SUM(L146:L157)</f>
        <v>4764</v>
      </c>
      <c r="M158" s="257">
        <f t="shared" si="34"/>
        <v>254.20999999999998</v>
      </c>
      <c r="N158" s="258">
        <f t="shared" si="34"/>
        <v>698718.14</v>
      </c>
      <c r="O158" s="177"/>
      <c r="P158" s="270" t="s">
        <v>15</v>
      </c>
      <c r="Q158" s="271">
        <f t="shared" ref="Q158:R158" si="35">SUM(Q146:Q157)</f>
        <v>19.66</v>
      </c>
      <c r="R158" s="272">
        <f t="shared" si="35"/>
        <v>291900.23</v>
      </c>
      <c r="S158" s="177"/>
      <c r="T158" s="293">
        <f>SUM(T145:T156)</f>
        <v>3.07</v>
      </c>
      <c r="U158" s="173">
        <f>SUM(U145:U156)</f>
        <v>0</v>
      </c>
      <c r="V158" s="294">
        <f>SUM(V145:V156)</f>
        <v>4546.0600000000004</v>
      </c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54"/>
      <c r="AM158" s="154"/>
      <c r="AN158" s="154"/>
      <c r="AO158" s="151"/>
      <c r="AP158" s="155"/>
      <c r="AQ158" s="155"/>
      <c r="AR158" s="155"/>
      <c r="AS158" s="155"/>
      <c r="AT158" s="152"/>
      <c r="AU158" s="151"/>
      <c r="AV158" s="151"/>
      <c r="AW158" s="133"/>
      <c r="AX158" s="133"/>
    </row>
    <row r="159" spans="1:50" ht="18.75" customHeight="1" thickBot="1" x14ac:dyDescent="0.3">
      <c r="A159" s="411"/>
      <c r="B159" s="342" t="s">
        <v>257</v>
      </c>
      <c r="C159" s="342"/>
      <c r="D159" s="343">
        <f>SUM(E158+D158+D140+G140+J140+J158+N158+R158+M140+P140+S140+V140+Y140+AB140+AE140-AN139+AO139-AU139+AV139-AM139)</f>
        <v>4305106.8909999989</v>
      </c>
      <c r="E159" s="344"/>
      <c r="F159" s="345"/>
      <c r="G159" s="177"/>
      <c r="H159" s="243"/>
      <c r="I159" s="243"/>
      <c r="J159" s="240"/>
      <c r="K159" s="240"/>
      <c r="L159" s="240"/>
      <c r="M159" s="241"/>
      <c r="N159" s="241"/>
      <c r="O159" s="177"/>
      <c r="P159" s="177"/>
      <c r="Q159" s="177"/>
      <c r="R159" s="177"/>
      <c r="S159" s="177"/>
      <c r="T159" s="289"/>
      <c r="U159" s="287">
        <f>SUM(V158+U158)</f>
        <v>4546.0600000000004</v>
      </c>
      <c r="V159" s="288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54"/>
      <c r="AM159" s="154"/>
      <c r="AN159" s="154"/>
      <c r="AO159" s="151"/>
      <c r="AP159" s="155"/>
      <c r="AQ159" s="155"/>
      <c r="AR159" s="155"/>
      <c r="AS159" s="155"/>
      <c r="AT159" s="152"/>
      <c r="AU159" s="151"/>
      <c r="AV159" s="151"/>
      <c r="AW159" s="133"/>
      <c r="AX159" s="133"/>
    </row>
    <row r="160" spans="1:50" ht="18.75" customHeight="1" thickBot="1" x14ac:dyDescent="0.3">
      <c r="A160" s="411"/>
      <c r="B160" s="346" t="s">
        <v>206</v>
      </c>
      <c r="C160" s="346"/>
      <c r="D160" s="347">
        <f>SUM(C158+C139+F139+I139+L139+O139+R139+M158)</f>
        <v>1114.57</v>
      </c>
      <c r="E160" s="348"/>
      <c r="F160" s="349"/>
      <c r="G160" s="177"/>
      <c r="H160" s="280" t="s">
        <v>236</v>
      </c>
      <c r="I160" s="281">
        <f>SUM(AP139+I158+Q158)</f>
        <v>70.631999999999991</v>
      </c>
      <c r="J160" s="242"/>
      <c r="K160" s="282" t="s">
        <v>27</v>
      </c>
      <c r="L160" s="283">
        <f>SUM(AR139+K158)</f>
        <v>64.864200000000011</v>
      </c>
      <c r="M160" s="241"/>
      <c r="N160" s="284" t="s">
        <v>237</v>
      </c>
      <c r="O160" s="285">
        <f>SUM(F139+C158+M158+C139)</f>
        <v>744.31</v>
      </c>
      <c r="P160" s="177"/>
      <c r="Q160" s="286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54"/>
      <c r="AM160" s="154"/>
      <c r="AN160" s="154"/>
      <c r="AO160" s="151"/>
      <c r="AP160" s="155"/>
      <c r="AQ160" s="155"/>
      <c r="AR160" s="155"/>
      <c r="AS160" s="155"/>
      <c r="AT160" s="152"/>
      <c r="AU160" s="151"/>
      <c r="AV160" s="151"/>
      <c r="AW160" s="133"/>
      <c r="AX160" s="133"/>
    </row>
    <row r="161" spans="1:50" ht="18.75" customHeight="1" thickBot="1" x14ac:dyDescent="0.3">
      <c r="A161" s="413"/>
      <c r="B161" s="399" t="s">
        <v>207</v>
      </c>
      <c r="C161" s="399"/>
      <c r="D161" s="400">
        <f>SUM(E158+E139+H139+K139+Q139+N139+T139+W139+Z139+AC139+AF139+AV139)</f>
        <v>2207652.8649999998</v>
      </c>
      <c r="E161" s="401"/>
      <c r="F161" s="402"/>
      <c r="G161" s="177"/>
      <c r="H161" s="243"/>
      <c r="I161" s="243"/>
      <c r="J161" s="241"/>
      <c r="K161" s="241"/>
      <c r="L161" s="241"/>
      <c r="M161" s="241"/>
      <c r="N161" s="241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54"/>
      <c r="AM161" s="154"/>
      <c r="AN161" s="154"/>
      <c r="AO161" s="151"/>
      <c r="AP161" s="155"/>
      <c r="AQ161" s="155"/>
      <c r="AR161" s="155"/>
      <c r="AS161" s="155"/>
      <c r="AT161" s="152"/>
      <c r="AU161" s="151"/>
      <c r="AV161" s="151"/>
      <c r="AW161" s="133"/>
      <c r="AX161" s="133"/>
    </row>
    <row r="162" spans="1:50" ht="15.75" x14ac:dyDescent="0.25">
      <c r="C162" s="296"/>
      <c r="D162" s="31"/>
      <c r="E162" s="31"/>
      <c r="F162" s="296"/>
      <c r="G162" s="296"/>
      <c r="H162" s="296"/>
      <c r="I162" s="296"/>
      <c r="J162" s="296"/>
      <c r="K162" s="296"/>
      <c r="L162" s="167"/>
      <c r="M162" s="31"/>
      <c r="N162" s="31"/>
      <c r="O162" s="167"/>
      <c r="P162" s="31"/>
      <c r="Q162" s="31"/>
      <c r="R162" s="297"/>
      <c r="S162" s="31"/>
      <c r="T162" s="31"/>
      <c r="U162" s="167"/>
      <c r="V162" s="31"/>
      <c r="W162" s="31"/>
      <c r="X162" s="167"/>
      <c r="Y162" s="31"/>
      <c r="Z162" s="31"/>
      <c r="AA162" s="167"/>
      <c r="AB162" s="31"/>
      <c r="AC162" s="31"/>
      <c r="AD162" s="167"/>
      <c r="AE162" s="167"/>
      <c r="AF162" s="167"/>
      <c r="AG162" s="167"/>
      <c r="AH162" s="31"/>
      <c r="AI162" s="167"/>
      <c r="AJ162" s="31"/>
      <c r="AK162" s="298"/>
      <c r="AL162" s="298"/>
      <c r="AM162" s="298"/>
      <c r="AN162" s="298"/>
      <c r="AO162" s="296"/>
      <c r="AP162" s="296"/>
      <c r="AQ162" s="296"/>
      <c r="AR162" s="31"/>
      <c r="AS162" s="298"/>
      <c r="AT162" s="167"/>
      <c r="AU162" s="167"/>
      <c r="AV162" s="167"/>
      <c r="AW162" s="131"/>
    </row>
    <row r="163" spans="1:50" ht="16.5" thickBot="1" x14ac:dyDescent="0.3">
      <c r="C163" s="296"/>
      <c r="D163" s="31"/>
      <c r="E163" s="31"/>
      <c r="F163" s="296"/>
      <c r="G163" s="296"/>
      <c r="H163" s="296"/>
      <c r="I163" s="296"/>
      <c r="J163" s="296"/>
      <c r="K163" s="296"/>
      <c r="L163" s="167"/>
      <c r="M163" s="31"/>
      <c r="N163" s="31"/>
      <c r="O163" s="167"/>
      <c r="P163" s="31"/>
      <c r="Q163" s="31"/>
      <c r="R163" s="297"/>
      <c r="S163" s="31"/>
      <c r="T163" s="31"/>
      <c r="U163" s="167"/>
      <c r="V163" s="31"/>
      <c r="W163" s="31"/>
      <c r="X163" s="167"/>
      <c r="Y163" s="31"/>
      <c r="Z163" s="31"/>
      <c r="AA163" s="167"/>
      <c r="AB163" s="31"/>
      <c r="AC163" s="31"/>
      <c r="AD163" s="167"/>
      <c r="AE163" s="167"/>
      <c r="AF163" s="167"/>
      <c r="AG163" s="167"/>
      <c r="AH163" s="31"/>
      <c r="AI163" s="167"/>
      <c r="AJ163" s="31"/>
      <c r="AK163" s="298"/>
      <c r="AL163" s="298"/>
      <c r="AM163" s="298"/>
      <c r="AN163" s="298"/>
      <c r="AO163" s="296"/>
      <c r="AP163" s="296"/>
      <c r="AQ163" s="296"/>
      <c r="AR163" s="31"/>
      <c r="AS163" s="298"/>
      <c r="AT163" s="167"/>
      <c r="AU163" s="167"/>
      <c r="AV163" s="167"/>
      <c r="AW163" s="131"/>
    </row>
    <row r="164" spans="1:50" ht="18.75" customHeight="1" thickTop="1" thickBot="1" x14ac:dyDescent="0.3">
      <c r="B164" s="197" t="s">
        <v>244</v>
      </c>
      <c r="C164" s="382" t="s">
        <v>233</v>
      </c>
      <c r="D164" s="383"/>
      <c r="E164" s="384"/>
      <c r="F164" s="382" t="s">
        <v>235</v>
      </c>
      <c r="G164" s="383"/>
      <c r="H164" s="384"/>
      <c r="I164" s="382" t="s">
        <v>125</v>
      </c>
      <c r="J164" s="383"/>
      <c r="K164" s="385"/>
      <c r="L164" s="386" t="s">
        <v>129</v>
      </c>
      <c r="M164" s="364"/>
      <c r="N164" s="365"/>
      <c r="O164" s="363" t="s">
        <v>134</v>
      </c>
      <c r="P164" s="364"/>
      <c r="Q164" s="365"/>
      <c r="R164" s="387" t="s">
        <v>154</v>
      </c>
      <c r="S164" s="388"/>
      <c r="T164" s="389"/>
      <c r="U164" s="363" t="s">
        <v>158</v>
      </c>
      <c r="V164" s="364"/>
      <c r="W164" s="365"/>
      <c r="X164" s="363" t="s">
        <v>159</v>
      </c>
      <c r="Y164" s="364"/>
      <c r="Z164" s="365"/>
      <c r="AA164" s="363" t="s">
        <v>138</v>
      </c>
      <c r="AB164" s="364"/>
      <c r="AC164" s="365"/>
      <c r="AD164" s="363" t="s">
        <v>130</v>
      </c>
      <c r="AE164" s="364"/>
      <c r="AF164" s="365"/>
      <c r="AG164" s="414" t="s">
        <v>152</v>
      </c>
      <c r="AH164" s="415"/>
      <c r="AI164" s="416" t="s">
        <v>167</v>
      </c>
      <c r="AJ164" s="415"/>
      <c r="AK164" s="8"/>
      <c r="AL164" s="8"/>
      <c r="AM164" s="8"/>
      <c r="AN164" s="8"/>
      <c r="AO164" s="417" t="s">
        <v>99</v>
      </c>
      <c r="AP164" s="418"/>
      <c r="AQ164" s="418"/>
      <c r="AR164" s="419"/>
      <c r="AS164" s="8"/>
      <c r="AT164" s="363" t="s">
        <v>145</v>
      </c>
      <c r="AU164" s="364"/>
      <c r="AV164" s="365"/>
      <c r="AW164" s="141"/>
    </row>
    <row r="165" spans="1:50" ht="60" customHeight="1" x14ac:dyDescent="0.25">
      <c r="A165" s="403" t="s">
        <v>243</v>
      </c>
      <c r="B165" s="198" t="s">
        <v>0</v>
      </c>
      <c r="C165" s="110" t="s">
        <v>119</v>
      </c>
      <c r="D165" s="20" t="s">
        <v>120</v>
      </c>
      <c r="E165" s="14" t="s">
        <v>121</v>
      </c>
      <c r="F165" s="86" t="s">
        <v>119</v>
      </c>
      <c r="G165" s="20" t="s">
        <v>120</v>
      </c>
      <c r="H165" s="14" t="s">
        <v>121</v>
      </c>
      <c r="I165" s="86" t="s">
        <v>23</v>
      </c>
      <c r="J165" s="20" t="s">
        <v>122</v>
      </c>
      <c r="K165" s="111" t="s">
        <v>123</v>
      </c>
      <c r="L165" s="184" t="s">
        <v>131</v>
      </c>
      <c r="M165" s="20" t="s">
        <v>132</v>
      </c>
      <c r="N165" s="14" t="s">
        <v>133</v>
      </c>
      <c r="O165" s="86" t="s">
        <v>135</v>
      </c>
      <c r="P165" s="20" t="s">
        <v>136</v>
      </c>
      <c r="Q165" s="14" t="s">
        <v>137</v>
      </c>
      <c r="R165" s="86" t="s">
        <v>155</v>
      </c>
      <c r="S165" s="20" t="s">
        <v>156</v>
      </c>
      <c r="T165" s="14" t="s">
        <v>157</v>
      </c>
      <c r="U165" s="86" t="s">
        <v>160</v>
      </c>
      <c r="V165" s="20" t="s">
        <v>161</v>
      </c>
      <c r="W165" s="14" t="s">
        <v>162</v>
      </c>
      <c r="X165" s="86" t="s">
        <v>163</v>
      </c>
      <c r="Y165" s="20" t="s">
        <v>164</v>
      </c>
      <c r="Z165" s="14" t="s">
        <v>165</v>
      </c>
      <c r="AA165" s="86" t="s">
        <v>139</v>
      </c>
      <c r="AB165" s="20" t="s">
        <v>140</v>
      </c>
      <c r="AC165" s="14" t="s">
        <v>141</v>
      </c>
      <c r="AD165" s="86" t="s">
        <v>126</v>
      </c>
      <c r="AE165" s="20" t="s">
        <v>127</v>
      </c>
      <c r="AF165" s="14" t="s">
        <v>128</v>
      </c>
      <c r="AG165" s="20" t="s">
        <v>172</v>
      </c>
      <c r="AH165" s="20" t="s">
        <v>171</v>
      </c>
      <c r="AI165" s="20" t="s">
        <v>169</v>
      </c>
      <c r="AJ165" s="20" t="s">
        <v>170</v>
      </c>
      <c r="AK165" s="14" t="s">
        <v>173</v>
      </c>
      <c r="AL165" s="14" t="s">
        <v>97</v>
      </c>
      <c r="AM165" s="14" t="s">
        <v>101</v>
      </c>
      <c r="AN165" s="14" t="s">
        <v>66</v>
      </c>
      <c r="AO165" s="20" t="s">
        <v>202</v>
      </c>
      <c r="AP165" s="14" t="s">
        <v>90</v>
      </c>
      <c r="AQ165" s="14" t="s">
        <v>91</v>
      </c>
      <c r="AR165" s="14" t="s">
        <v>27</v>
      </c>
      <c r="AS165" s="14" t="s">
        <v>100</v>
      </c>
      <c r="AT165" s="86" t="s">
        <v>146</v>
      </c>
      <c r="AU165" s="22" t="s">
        <v>148</v>
      </c>
      <c r="AV165" s="183" t="s">
        <v>147</v>
      </c>
      <c r="AW165" s="135" t="s">
        <v>94</v>
      </c>
    </row>
    <row r="166" spans="1:50" ht="18.75" customHeight="1" thickBot="1" x14ac:dyDescent="0.3">
      <c r="A166" s="404"/>
      <c r="B166" s="199"/>
      <c r="C166" s="112" t="s">
        <v>151</v>
      </c>
      <c r="D166" s="18" t="s">
        <v>151</v>
      </c>
      <c r="E166" s="87" t="s">
        <v>1</v>
      </c>
      <c r="F166" s="90" t="s">
        <v>151</v>
      </c>
      <c r="G166" s="18" t="s">
        <v>151</v>
      </c>
      <c r="H166" s="87" t="s">
        <v>1</v>
      </c>
      <c r="I166" s="90" t="s">
        <v>151</v>
      </c>
      <c r="J166" s="18" t="s">
        <v>151</v>
      </c>
      <c r="K166" s="113" t="s">
        <v>1</v>
      </c>
      <c r="L166" s="85" t="s">
        <v>151</v>
      </c>
      <c r="M166" s="18" t="s">
        <v>151</v>
      </c>
      <c r="N166" s="87" t="s">
        <v>1</v>
      </c>
      <c r="O166" s="90" t="s">
        <v>151</v>
      </c>
      <c r="P166" s="18" t="s">
        <v>151</v>
      </c>
      <c r="Q166" s="87" t="s">
        <v>1</v>
      </c>
      <c r="R166" s="90" t="s">
        <v>151</v>
      </c>
      <c r="S166" s="18" t="s">
        <v>151</v>
      </c>
      <c r="T166" s="87" t="s">
        <v>1</v>
      </c>
      <c r="U166" s="90" t="s">
        <v>151</v>
      </c>
      <c r="V166" s="18" t="s">
        <v>151</v>
      </c>
      <c r="W166" s="87" t="s">
        <v>1</v>
      </c>
      <c r="X166" s="90" t="s">
        <v>151</v>
      </c>
      <c r="Y166" s="18" t="s">
        <v>151</v>
      </c>
      <c r="Z166" s="87" t="s">
        <v>1</v>
      </c>
      <c r="AA166" s="90" t="s">
        <v>151</v>
      </c>
      <c r="AB166" s="18" t="s">
        <v>151</v>
      </c>
      <c r="AC166" s="87" t="s">
        <v>1</v>
      </c>
      <c r="AD166" s="90" t="s">
        <v>151</v>
      </c>
      <c r="AE166" s="18" t="s">
        <v>151</v>
      </c>
      <c r="AF166" s="87" t="s">
        <v>151</v>
      </c>
      <c r="AG166" s="85" t="s">
        <v>17</v>
      </c>
      <c r="AH166" s="18" t="s">
        <v>18</v>
      </c>
      <c r="AI166" s="85" t="s">
        <v>168</v>
      </c>
      <c r="AJ166" s="18" t="s">
        <v>151</v>
      </c>
      <c r="AK166" s="18" t="s">
        <v>18</v>
      </c>
      <c r="AL166" s="18" t="s">
        <v>98</v>
      </c>
      <c r="AM166" s="18" t="s">
        <v>98</v>
      </c>
      <c r="AN166" s="18" t="s">
        <v>98</v>
      </c>
      <c r="AO166" s="18" t="s">
        <v>150</v>
      </c>
      <c r="AP166" s="18" t="s">
        <v>17</v>
      </c>
      <c r="AQ166" s="18" t="s">
        <v>17</v>
      </c>
      <c r="AR166" s="18" t="s">
        <v>17</v>
      </c>
      <c r="AS166" s="18" t="s">
        <v>17</v>
      </c>
      <c r="AT166" s="90" t="s">
        <v>149</v>
      </c>
      <c r="AU166" s="90" t="s">
        <v>149</v>
      </c>
      <c r="AV166" s="134" t="s">
        <v>1</v>
      </c>
      <c r="AW166" s="142" t="s">
        <v>93</v>
      </c>
    </row>
    <row r="167" spans="1:50" ht="18.75" customHeight="1" x14ac:dyDescent="0.25">
      <c r="A167" s="404"/>
      <c r="B167" s="210" t="s">
        <v>3</v>
      </c>
      <c r="C167" s="114"/>
      <c r="D167" s="3"/>
      <c r="E167" s="21"/>
      <c r="F167" s="1"/>
      <c r="G167" s="3"/>
      <c r="H167" s="21"/>
      <c r="I167" s="299">
        <v>11.86</v>
      </c>
      <c r="J167" s="3">
        <v>15340.91</v>
      </c>
      <c r="K167" s="115">
        <v>17865.25</v>
      </c>
      <c r="L167" s="107">
        <v>2.08</v>
      </c>
      <c r="M167" s="3">
        <v>2238.91</v>
      </c>
      <c r="N167" s="21">
        <v>4338.03</v>
      </c>
      <c r="O167" s="101">
        <v>1.61</v>
      </c>
      <c r="P167" s="3">
        <v>1110</v>
      </c>
      <c r="Q167" s="21">
        <v>4073.76</v>
      </c>
      <c r="R167" s="101"/>
      <c r="S167" s="3"/>
      <c r="T167" s="21"/>
      <c r="U167" s="101"/>
      <c r="V167" s="3"/>
      <c r="W167" s="21"/>
      <c r="X167" s="101"/>
      <c r="Y167" s="3"/>
      <c r="Z167" s="21"/>
      <c r="AA167" s="101"/>
      <c r="AB167" s="3"/>
      <c r="AC167" s="21"/>
      <c r="AD167" s="98"/>
      <c r="AE167" s="3"/>
      <c r="AF167" s="21"/>
      <c r="AG167" s="93"/>
      <c r="AH167" s="3"/>
      <c r="AI167" s="93"/>
      <c r="AJ167" s="3"/>
      <c r="AK167" s="21"/>
      <c r="AL167" s="21"/>
      <c r="AM167" s="21"/>
      <c r="AN167" s="21"/>
      <c r="AO167" s="3">
        <v>30807.78</v>
      </c>
      <c r="AP167" s="72">
        <v>0.66310000000000002</v>
      </c>
      <c r="AQ167" s="72">
        <v>2.7740999999999998</v>
      </c>
      <c r="AR167" s="72">
        <v>3.5808</v>
      </c>
      <c r="AS167" s="72"/>
      <c r="AT167" s="98"/>
      <c r="AU167" s="3"/>
      <c r="AV167" s="137"/>
      <c r="AW167" s="143"/>
    </row>
    <row r="168" spans="1:50" ht="18.75" customHeight="1" x14ac:dyDescent="0.25">
      <c r="A168" s="404"/>
      <c r="B168" s="211" t="s">
        <v>4</v>
      </c>
      <c r="C168" s="116"/>
      <c r="D168" s="7"/>
      <c r="E168" s="9"/>
      <c r="F168" s="5"/>
      <c r="G168" s="7"/>
      <c r="H168" s="9"/>
      <c r="I168" s="5">
        <v>29.43</v>
      </c>
      <c r="J168" s="7">
        <v>38067.71</v>
      </c>
      <c r="K168" s="117">
        <v>26842.49</v>
      </c>
      <c r="L168" s="108"/>
      <c r="M168" s="7"/>
      <c r="N168" s="9"/>
      <c r="O168" s="102">
        <v>1.74</v>
      </c>
      <c r="P168" s="7">
        <v>1200</v>
      </c>
      <c r="Q168" s="9">
        <v>4262.3599999999997</v>
      </c>
      <c r="R168" s="102"/>
      <c r="S168" s="7"/>
      <c r="T168" s="9"/>
      <c r="U168" s="102"/>
      <c r="V168" s="7"/>
      <c r="W168" s="9"/>
      <c r="X168" s="102"/>
      <c r="Y168" s="7"/>
      <c r="Z168" s="9"/>
      <c r="AA168" s="102"/>
      <c r="AB168" s="7"/>
      <c r="AC168" s="9"/>
      <c r="AD168" s="99"/>
      <c r="AE168" s="7"/>
      <c r="AF168" s="9"/>
      <c r="AG168" s="94"/>
      <c r="AH168" s="7"/>
      <c r="AI168" s="94"/>
      <c r="AJ168" s="7"/>
      <c r="AK168" s="9"/>
      <c r="AL168" s="9"/>
      <c r="AM168" s="9"/>
      <c r="AN168" s="9"/>
      <c r="AO168" s="7">
        <v>36828.04</v>
      </c>
      <c r="AP168" s="72">
        <v>1.0344</v>
      </c>
      <c r="AQ168" s="72">
        <v>2.7141999999999999</v>
      </c>
      <c r="AR168" s="72">
        <v>1.6523000000000001</v>
      </c>
      <c r="AS168" s="72"/>
      <c r="AT168" s="99"/>
      <c r="AU168" s="7"/>
      <c r="AV168" s="138"/>
      <c r="AW168" s="143"/>
    </row>
    <row r="169" spans="1:50" ht="18.75" customHeight="1" x14ac:dyDescent="0.25">
      <c r="A169" s="404"/>
      <c r="B169" s="211" t="s">
        <v>5</v>
      </c>
      <c r="C169" s="118"/>
      <c r="D169" s="7"/>
      <c r="E169" s="9"/>
      <c r="F169" s="96"/>
      <c r="G169" s="7"/>
      <c r="H169" s="9"/>
      <c r="I169" s="96">
        <v>31.18</v>
      </c>
      <c r="J169" s="105">
        <v>40331.33</v>
      </c>
      <c r="K169" s="117">
        <v>37155.58</v>
      </c>
      <c r="L169" s="108">
        <v>5.44</v>
      </c>
      <c r="M169" s="7">
        <v>5855.62</v>
      </c>
      <c r="N169" s="9">
        <v>13919.48</v>
      </c>
      <c r="O169" s="102">
        <v>4.95</v>
      </c>
      <c r="P169" s="7">
        <v>3415.5</v>
      </c>
      <c r="Q169" s="9">
        <v>4450.96</v>
      </c>
      <c r="R169" s="102"/>
      <c r="S169" s="7"/>
      <c r="T169" s="9"/>
      <c r="U169" s="102"/>
      <c r="V169" s="7"/>
      <c r="W169" s="9"/>
      <c r="X169" s="102"/>
      <c r="Y169" s="7"/>
      <c r="Z169" s="9"/>
      <c r="AA169" s="102"/>
      <c r="AB169" s="7"/>
      <c r="AC169" s="9"/>
      <c r="AD169" s="99"/>
      <c r="AE169" s="7"/>
      <c r="AF169" s="9"/>
      <c r="AG169" s="94"/>
      <c r="AH169" s="7"/>
      <c r="AI169" s="94"/>
      <c r="AJ169" s="7"/>
      <c r="AK169" s="9"/>
      <c r="AL169" s="9"/>
      <c r="AM169" s="9">
        <v>3888</v>
      </c>
      <c r="AN169" s="9">
        <v>103725</v>
      </c>
      <c r="AO169" s="7">
        <v>36756.74</v>
      </c>
      <c r="AP169" s="72">
        <v>1.0304</v>
      </c>
      <c r="AQ169" s="72">
        <v>1.8504</v>
      </c>
      <c r="AR169" s="72">
        <v>3.4182000000000001</v>
      </c>
      <c r="AS169" s="72"/>
      <c r="AT169" s="99">
        <v>1.06</v>
      </c>
      <c r="AU169" s="7">
        <v>7420</v>
      </c>
      <c r="AV169" s="138">
        <v>4048.69</v>
      </c>
      <c r="AW169" s="143">
        <v>364</v>
      </c>
    </row>
    <row r="170" spans="1:50" ht="18.75" customHeight="1" x14ac:dyDescent="0.25">
      <c r="A170" s="404"/>
      <c r="B170" s="211" t="s">
        <v>6</v>
      </c>
      <c r="C170" s="118"/>
      <c r="D170" s="7"/>
      <c r="E170" s="9"/>
      <c r="F170" s="96"/>
      <c r="G170" s="7"/>
      <c r="H170" s="9"/>
      <c r="I170" s="96">
        <v>27.83</v>
      </c>
      <c r="J170" s="7">
        <v>35998.1</v>
      </c>
      <c r="K170" s="117">
        <v>32115.82</v>
      </c>
      <c r="L170" s="108">
        <v>8.7799999999999994</v>
      </c>
      <c r="M170" s="7">
        <v>9450.7900000000009</v>
      </c>
      <c r="N170" s="9">
        <v>17900.439999999999</v>
      </c>
      <c r="O170" s="102">
        <v>1.82</v>
      </c>
      <c r="P170" s="7">
        <v>1255.8</v>
      </c>
      <c r="Q170" s="9">
        <v>4556.76</v>
      </c>
      <c r="R170" s="102"/>
      <c r="S170" s="7"/>
      <c r="T170" s="9"/>
      <c r="U170" s="102"/>
      <c r="V170" s="7"/>
      <c r="W170" s="9"/>
      <c r="X170" s="102"/>
      <c r="Y170" s="7"/>
      <c r="Z170" s="9"/>
      <c r="AA170" s="102"/>
      <c r="AB170" s="7"/>
      <c r="AC170" s="9"/>
      <c r="AD170" s="99"/>
      <c r="AE170" s="7"/>
      <c r="AF170" s="9"/>
      <c r="AG170" s="94"/>
      <c r="AH170" s="7"/>
      <c r="AI170" s="94"/>
      <c r="AJ170" s="7"/>
      <c r="AK170" s="9"/>
      <c r="AL170" s="9"/>
      <c r="AM170" s="9"/>
      <c r="AN170" s="9"/>
      <c r="AO170" s="7">
        <v>30784.75</v>
      </c>
      <c r="AP170" s="72">
        <v>0.93100000000000005</v>
      </c>
      <c r="AQ170" s="72">
        <v>2.0911</v>
      </c>
      <c r="AR170" s="72">
        <v>2.4394</v>
      </c>
      <c r="AS170" s="72"/>
      <c r="AT170" s="99">
        <v>1.24</v>
      </c>
      <c r="AU170" s="7">
        <v>10416</v>
      </c>
      <c r="AV170" s="138">
        <v>3082.57</v>
      </c>
      <c r="AW170" s="143"/>
    </row>
    <row r="171" spans="1:50" ht="18.75" customHeight="1" x14ac:dyDescent="0.25">
      <c r="A171" s="404"/>
      <c r="B171" s="211" t="s">
        <v>7</v>
      </c>
      <c r="C171" s="119"/>
      <c r="D171" s="7"/>
      <c r="E171" s="9"/>
      <c r="F171" s="91"/>
      <c r="G171" s="7"/>
      <c r="H171" s="9"/>
      <c r="I171" s="96">
        <v>45.94</v>
      </c>
      <c r="J171" s="7">
        <v>59423.39</v>
      </c>
      <c r="K171" s="117">
        <v>53510.42</v>
      </c>
      <c r="L171" s="108">
        <v>12.75</v>
      </c>
      <c r="M171" s="7">
        <v>13724.1</v>
      </c>
      <c r="N171" s="9">
        <v>18115.259999999998</v>
      </c>
      <c r="O171" s="102">
        <v>4.21</v>
      </c>
      <c r="P171" s="7">
        <v>2904.9</v>
      </c>
      <c r="Q171" s="9">
        <v>7853.12</v>
      </c>
      <c r="R171" s="102"/>
      <c r="S171" s="7"/>
      <c r="T171" s="9"/>
      <c r="U171" s="102"/>
      <c r="V171" s="7"/>
      <c r="W171" s="9"/>
      <c r="X171" s="102"/>
      <c r="Y171" s="7"/>
      <c r="Z171" s="9"/>
      <c r="AA171" s="102">
        <v>1.1299999999999999</v>
      </c>
      <c r="AB171" s="7"/>
      <c r="AC171" s="9">
        <v>3484.96</v>
      </c>
      <c r="AD171" s="99"/>
      <c r="AE171" s="7"/>
      <c r="AF171" s="9"/>
      <c r="AG171" s="94"/>
      <c r="AH171" s="7"/>
      <c r="AI171" s="94"/>
      <c r="AJ171" s="7"/>
      <c r="AK171" s="9"/>
      <c r="AL171" s="9"/>
      <c r="AM171" s="9"/>
      <c r="AN171" s="9"/>
      <c r="AO171" s="7">
        <v>32155.62</v>
      </c>
      <c r="AP171" s="72">
        <v>1.8068</v>
      </c>
      <c r="AQ171" s="72">
        <v>2.3733</v>
      </c>
      <c r="AR171" s="72">
        <v>3.6718000000000002</v>
      </c>
      <c r="AS171" s="72"/>
      <c r="AT171" s="99"/>
      <c r="AU171" s="7"/>
      <c r="AV171" s="138"/>
      <c r="AW171" s="143"/>
    </row>
    <row r="172" spans="1:50" ht="18.75" customHeight="1" x14ac:dyDescent="0.25">
      <c r="A172" s="404"/>
      <c r="B172" s="211" t="s">
        <v>8</v>
      </c>
      <c r="C172" s="119"/>
      <c r="D172" s="7"/>
      <c r="E172" s="9"/>
      <c r="F172" s="91"/>
      <c r="G172" s="7"/>
      <c r="H172" s="9"/>
      <c r="I172" s="96">
        <v>30.87</v>
      </c>
      <c r="J172" s="7">
        <v>39930.339999999997</v>
      </c>
      <c r="K172" s="117">
        <v>40565.440000000002</v>
      </c>
      <c r="L172" s="108">
        <v>9.99</v>
      </c>
      <c r="M172" s="7">
        <v>10753.24</v>
      </c>
      <c r="N172" s="9">
        <v>18385.509999999998</v>
      </c>
      <c r="O172" s="102">
        <v>2.6</v>
      </c>
      <c r="P172" s="7">
        <v>1794</v>
      </c>
      <c r="Q172" s="9">
        <v>4503.8599999999997</v>
      </c>
      <c r="R172" s="102"/>
      <c r="S172" s="7"/>
      <c r="T172" s="9"/>
      <c r="U172" s="102"/>
      <c r="V172" s="7"/>
      <c r="W172" s="9"/>
      <c r="X172" s="102"/>
      <c r="Y172" s="7"/>
      <c r="Z172" s="9"/>
      <c r="AA172" s="102"/>
      <c r="AB172" s="7"/>
      <c r="AC172" s="9"/>
      <c r="AD172" s="99"/>
      <c r="AE172" s="7"/>
      <c r="AF172" s="9"/>
      <c r="AG172" s="94"/>
      <c r="AH172" s="7"/>
      <c r="AI172" s="94"/>
      <c r="AJ172" s="7"/>
      <c r="AK172" s="9"/>
      <c r="AL172" s="9"/>
      <c r="AM172" s="9">
        <v>12893.25</v>
      </c>
      <c r="AN172" s="9"/>
      <c r="AO172" s="7">
        <v>32015.31</v>
      </c>
      <c r="AP172" s="72">
        <v>1.4837</v>
      </c>
      <c r="AQ172" s="72">
        <v>2.8368000000000002</v>
      </c>
      <c r="AR172" s="72">
        <v>3.0720999999999998</v>
      </c>
      <c r="AS172" s="72"/>
      <c r="AT172" s="99">
        <v>1.2</v>
      </c>
      <c r="AU172" s="7">
        <v>6720</v>
      </c>
      <c r="AV172" s="138">
        <v>3082.69</v>
      </c>
      <c r="AW172" s="143">
        <v>409</v>
      </c>
    </row>
    <row r="173" spans="1:50" ht="18.75" customHeight="1" x14ac:dyDescent="0.25">
      <c r="A173" s="404"/>
      <c r="B173" s="211" t="s">
        <v>9</v>
      </c>
      <c r="C173" s="119"/>
      <c r="D173" s="7"/>
      <c r="E173" s="9"/>
      <c r="F173" s="91"/>
      <c r="G173" s="7"/>
      <c r="H173" s="9"/>
      <c r="I173" s="96">
        <v>32.270000000000003</v>
      </c>
      <c r="J173" s="7">
        <v>41741.25</v>
      </c>
      <c r="K173" s="117">
        <v>38700.720000000001</v>
      </c>
      <c r="L173" s="108">
        <v>12.1</v>
      </c>
      <c r="M173" s="7">
        <v>10110.98</v>
      </c>
      <c r="N173" s="9">
        <v>19644.990000000002</v>
      </c>
      <c r="O173" s="102">
        <v>5.77</v>
      </c>
      <c r="P173" s="7">
        <v>3981.3</v>
      </c>
      <c r="Q173" s="9">
        <v>9543.9599999999991</v>
      </c>
      <c r="R173" s="102"/>
      <c r="S173" s="7"/>
      <c r="T173" s="9"/>
      <c r="U173" s="102"/>
      <c r="V173" s="7"/>
      <c r="W173" s="9"/>
      <c r="X173" s="102"/>
      <c r="Y173" s="7"/>
      <c r="Z173" s="9"/>
      <c r="AA173" s="102"/>
      <c r="AB173" s="7"/>
      <c r="AC173" s="9"/>
      <c r="AD173" s="99"/>
      <c r="AE173" s="7"/>
      <c r="AF173" s="9"/>
      <c r="AG173" s="94"/>
      <c r="AH173" s="7"/>
      <c r="AI173" s="94"/>
      <c r="AJ173" s="7"/>
      <c r="AK173" s="9"/>
      <c r="AL173" s="9"/>
      <c r="AM173" s="9"/>
      <c r="AN173" s="9">
        <v>137877.5</v>
      </c>
      <c r="AO173" s="7">
        <v>45194.55</v>
      </c>
      <c r="AP173" s="72">
        <v>2.5333000000000001</v>
      </c>
      <c r="AQ173" s="72">
        <v>4.0285000000000002</v>
      </c>
      <c r="AR173" s="72">
        <v>5.0308999999999999</v>
      </c>
      <c r="AS173" s="72"/>
      <c r="AT173" s="99">
        <v>1.04</v>
      </c>
      <c r="AU173" s="7">
        <v>4264</v>
      </c>
      <c r="AV173" s="138">
        <v>3501.75</v>
      </c>
      <c r="AW173" s="143">
        <v>302</v>
      </c>
    </row>
    <row r="174" spans="1:50" ht="18.75" customHeight="1" x14ac:dyDescent="0.25">
      <c r="A174" s="404"/>
      <c r="B174" s="211" t="s">
        <v>10</v>
      </c>
      <c r="C174" s="119"/>
      <c r="D174" s="7"/>
      <c r="E174" s="9"/>
      <c r="F174" s="91"/>
      <c r="G174" s="7"/>
      <c r="H174" s="9"/>
      <c r="I174" s="96">
        <v>44.74</v>
      </c>
      <c r="J174" s="7">
        <v>57871.19</v>
      </c>
      <c r="K174" s="117">
        <v>51279.074999999997</v>
      </c>
      <c r="L174" s="108">
        <v>10.64</v>
      </c>
      <c r="M174" s="7">
        <v>9569.2000000000007</v>
      </c>
      <c r="N174" s="9">
        <v>23975.43</v>
      </c>
      <c r="O174" s="102">
        <v>5.9</v>
      </c>
      <c r="P174" s="7">
        <v>4071</v>
      </c>
      <c r="Q174" s="9">
        <v>13098.61</v>
      </c>
      <c r="R174" s="102"/>
      <c r="S174" s="7"/>
      <c r="T174" s="9"/>
      <c r="U174" s="102"/>
      <c r="V174" s="7"/>
      <c r="W174" s="9"/>
      <c r="X174" s="102"/>
      <c r="Y174" s="7"/>
      <c r="Z174" s="9"/>
      <c r="AA174" s="102"/>
      <c r="AB174" s="7"/>
      <c r="AC174" s="9"/>
      <c r="AD174" s="99">
        <v>1.2669999999999999</v>
      </c>
      <c r="AE174" s="7">
        <v>11159.6</v>
      </c>
      <c r="AF174" s="9">
        <v>2088.4</v>
      </c>
      <c r="AG174" s="94"/>
      <c r="AH174" s="7"/>
      <c r="AI174" s="94"/>
      <c r="AJ174" s="7"/>
      <c r="AK174" s="9"/>
      <c r="AL174" s="9"/>
      <c r="AM174" s="9"/>
      <c r="AN174" s="9"/>
      <c r="AO174" s="7">
        <v>42881.18</v>
      </c>
      <c r="AP174" s="72">
        <v>1.3771</v>
      </c>
      <c r="AQ174" s="72">
        <v>2.6126</v>
      </c>
      <c r="AR174" s="72">
        <v>6.0041000000000002</v>
      </c>
      <c r="AS174" s="72"/>
      <c r="AT174" s="99">
        <v>1.42</v>
      </c>
      <c r="AU174" s="7">
        <v>6532</v>
      </c>
      <c r="AV174" s="138">
        <v>2992.53</v>
      </c>
      <c r="AW174" s="143">
        <v>184</v>
      </c>
    </row>
    <row r="175" spans="1:50" ht="18.75" customHeight="1" x14ac:dyDescent="0.25">
      <c r="A175" s="404"/>
      <c r="B175" s="211" t="s">
        <v>11</v>
      </c>
      <c r="C175" s="119"/>
      <c r="D175" s="7"/>
      <c r="E175" s="9"/>
      <c r="F175" s="91"/>
      <c r="G175" s="7"/>
      <c r="H175" s="9"/>
      <c r="I175" s="96">
        <v>24.02</v>
      </c>
      <c r="J175" s="7">
        <v>31069.87</v>
      </c>
      <c r="K175" s="117">
        <v>31348.77</v>
      </c>
      <c r="L175" s="108">
        <v>10.26</v>
      </c>
      <c r="M175" s="7">
        <v>8639.01</v>
      </c>
      <c r="N175" s="9">
        <v>23369.26</v>
      </c>
      <c r="O175" s="102">
        <v>2.38</v>
      </c>
      <c r="P175" s="7">
        <v>1642.2</v>
      </c>
      <c r="Q175" s="9">
        <v>4744.09</v>
      </c>
      <c r="R175" s="102"/>
      <c r="S175" s="7"/>
      <c r="T175" s="9"/>
      <c r="U175" s="102"/>
      <c r="V175" s="7"/>
      <c r="W175" s="9"/>
      <c r="X175" s="102"/>
      <c r="Y175" s="7"/>
      <c r="Z175" s="9"/>
      <c r="AA175" s="102"/>
      <c r="AB175" s="7"/>
      <c r="AC175" s="9"/>
      <c r="AD175" s="99"/>
      <c r="AE175" s="7"/>
      <c r="AF175" s="9"/>
      <c r="AG175" s="94"/>
      <c r="AH175" s="7"/>
      <c r="AI175" s="94"/>
      <c r="AJ175" s="7"/>
      <c r="AK175" s="9"/>
      <c r="AL175" s="9"/>
      <c r="AM175" s="9">
        <v>4910</v>
      </c>
      <c r="AN175" s="9"/>
      <c r="AO175" s="7">
        <v>58343.67</v>
      </c>
      <c r="AP175" s="72">
        <v>2.0550000000000002</v>
      </c>
      <c r="AQ175" s="72">
        <v>3.0941000000000001</v>
      </c>
      <c r="AR175" s="72">
        <v>2.4790999999999999</v>
      </c>
      <c r="AS175" s="72"/>
      <c r="AT175" s="99">
        <v>1.06</v>
      </c>
      <c r="AU175" s="7">
        <v>4876</v>
      </c>
      <c r="AV175" s="138">
        <v>3502.44</v>
      </c>
      <c r="AW175" s="143">
        <v>133</v>
      </c>
    </row>
    <row r="176" spans="1:50" ht="18.75" customHeight="1" x14ac:dyDescent="0.25">
      <c r="A176" s="404"/>
      <c r="B176" s="211" t="s">
        <v>12</v>
      </c>
      <c r="C176" s="119"/>
      <c r="D176" s="7"/>
      <c r="E176" s="9"/>
      <c r="F176" s="91"/>
      <c r="G176" s="7"/>
      <c r="H176" s="9"/>
      <c r="I176" s="96">
        <v>23.47</v>
      </c>
      <c r="J176" s="7">
        <v>30358.44</v>
      </c>
      <c r="K176" s="117">
        <v>33889.35</v>
      </c>
      <c r="L176" s="108">
        <v>15.16</v>
      </c>
      <c r="M176" s="7">
        <v>15376.37</v>
      </c>
      <c r="N176" s="9">
        <v>37358.67</v>
      </c>
      <c r="O176" s="102">
        <v>2.29</v>
      </c>
      <c r="P176" s="7">
        <v>1580.1</v>
      </c>
      <c r="Q176" s="9">
        <v>4234.18</v>
      </c>
      <c r="R176" s="102"/>
      <c r="S176" s="7"/>
      <c r="T176" s="9"/>
      <c r="U176" s="102"/>
      <c r="V176" s="7"/>
      <c r="W176" s="9"/>
      <c r="X176" s="102"/>
      <c r="Y176" s="7"/>
      <c r="Z176" s="9"/>
      <c r="AA176" s="102"/>
      <c r="AB176" s="7"/>
      <c r="AC176" s="9"/>
      <c r="AD176" s="99"/>
      <c r="AE176" s="7"/>
      <c r="AF176" s="9"/>
      <c r="AG176" s="94"/>
      <c r="AH176" s="7"/>
      <c r="AI176" s="94"/>
      <c r="AJ176" s="7"/>
      <c r="AK176" s="9"/>
      <c r="AL176" s="9"/>
      <c r="AM176" s="9"/>
      <c r="AN176" s="9">
        <v>158739.65</v>
      </c>
      <c r="AO176" s="7">
        <v>32175.37</v>
      </c>
      <c r="AP176" s="72">
        <v>1.1207</v>
      </c>
      <c r="AQ176" s="72">
        <v>1.7738</v>
      </c>
      <c r="AR176" s="72">
        <v>2.1562999999999999</v>
      </c>
      <c r="AS176" s="72"/>
      <c r="AT176" s="99"/>
      <c r="AU176" s="7"/>
      <c r="AV176" s="138"/>
      <c r="AW176" s="143">
        <v>360</v>
      </c>
    </row>
    <row r="177" spans="1:50" ht="18.75" customHeight="1" x14ac:dyDescent="0.25">
      <c r="A177" s="404"/>
      <c r="B177" s="211" t="s">
        <v>13</v>
      </c>
      <c r="C177" s="119"/>
      <c r="D177" s="7"/>
      <c r="E177" s="9"/>
      <c r="F177" s="91"/>
      <c r="G177" s="7"/>
      <c r="H177" s="9"/>
      <c r="I177" s="96">
        <v>24.2</v>
      </c>
      <c r="J177" s="7">
        <v>31302.7</v>
      </c>
      <c r="K177" s="117">
        <v>33067.56</v>
      </c>
      <c r="L177" s="108">
        <v>13.14</v>
      </c>
      <c r="M177" s="7">
        <v>13013.68</v>
      </c>
      <c r="N177" s="9">
        <v>26736.81</v>
      </c>
      <c r="O177" s="102">
        <v>1.4</v>
      </c>
      <c r="P177" s="7">
        <v>966</v>
      </c>
      <c r="Q177" s="9">
        <v>4546.0600000000004</v>
      </c>
      <c r="R177" s="102"/>
      <c r="S177" s="7"/>
      <c r="T177" s="9"/>
      <c r="U177" s="102"/>
      <c r="V177" s="7"/>
      <c r="W177" s="9"/>
      <c r="X177" s="102"/>
      <c r="Y177" s="7"/>
      <c r="Z177" s="9"/>
      <c r="AA177" s="102"/>
      <c r="AB177" s="7"/>
      <c r="AC177" s="9"/>
      <c r="AD177" s="99">
        <v>1.2090000000000001</v>
      </c>
      <c r="AE177" s="7">
        <v>14868.43</v>
      </c>
      <c r="AF177" s="9">
        <v>2564.5</v>
      </c>
      <c r="AG177" s="94"/>
      <c r="AH177" s="7"/>
      <c r="AI177" s="94"/>
      <c r="AJ177" s="7"/>
      <c r="AK177" s="9"/>
      <c r="AL177" s="9"/>
      <c r="AM177" s="9"/>
      <c r="AN177" s="145"/>
      <c r="AO177" s="7">
        <v>31979.56</v>
      </c>
      <c r="AP177" s="72">
        <v>0.93689999999999996</v>
      </c>
      <c r="AQ177" s="72">
        <v>1.8738999999999999</v>
      </c>
      <c r="AR177" s="72">
        <v>4.6052999999999997</v>
      </c>
      <c r="AS177" s="72"/>
      <c r="AT177" s="99">
        <v>1.54</v>
      </c>
      <c r="AU177" s="7">
        <v>7546</v>
      </c>
      <c r="AV177" s="138">
        <v>3247.48</v>
      </c>
      <c r="AW177" s="143">
        <v>196</v>
      </c>
    </row>
    <row r="178" spans="1:50" ht="18.75" customHeight="1" thickBot="1" x14ac:dyDescent="0.3">
      <c r="A178" s="404"/>
      <c r="B178" s="212" t="s">
        <v>14</v>
      </c>
      <c r="C178" s="120"/>
      <c r="D178" s="88"/>
      <c r="E178" s="89"/>
      <c r="F178" s="92"/>
      <c r="G178" s="88"/>
      <c r="H178" s="89"/>
      <c r="I178" s="97">
        <v>12.35</v>
      </c>
      <c r="J178" s="88">
        <v>15974.72</v>
      </c>
      <c r="K178" s="121">
        <v>18548.23</v>
      </c>
      <c r="L178" s="109">
        <v>2.12</v>
      </c>
      <c r="M178" s="88">
        <v>2281.9699999999998</v>
      </c>
      <c r="N178" s="89">
        <v>5175</v>
      </c>
      <c r="O178" s="103">
        <v>2.71</v>
      </c>
      <c r="P178" s="88">
        <v>1869.9</v>
      </c>
      <c r="Q178" s="89">
        <v>4546.0600000000004</v>
      </c>
      <c r="R178" s="103"/>
      <c r="S178" s="88"/>
      <c r="T178" s="89"/>
      <c r="U178" s="103"/>
      <c r="V178" s="88"/>
      <c r="W178" s="89"/>
      <c r="X178" s="103"/>
      <c r="Y178" s="88"/>
      <c r="Z178" s="89"/>
      <c r="AA178" s="103"/>
      <c r="AB178" s="88"/>
      <c r="AC178" s="89"/>
      <c r="AD178" s="100"/>
      <c r="AE178" s="88"/>
      <c r="AF178" s="89"/>
      <c r="AG178" s="95"/>
      <c r="AH178" s="62"/>
      <c r="AI178" s="95"/>
      <c r="AJ178" s="88"/>
      <c r="AK178" s="89"/>
      <c r="AL178" s="65"/>
      <c r="AM178" s="65"/>
      <c r="AN178" s="65"/>
      <c r="AO178" s="62">
        <v>26271.08</v>
      </c>
      <c r="AP178" s="73">
        <v>0.90659999999999996</v>
      </c>
      <c r="AQ178" s="73">
        <v>1.655</v>
      </c>
      <c r="AR178" s="73"/>
      <c r="AS178" s="73"/>
      <c r="AT178" s="100"/>
      <c r="AU178" s="88"/>
      <c r="AV178" s="139"/>
      <c r="AW178" s="144">
        <v>311</v>
      </c>
    </row>
    <row r="179" spans="1:50" ht="18.75" customHeight="1" thickBot="1" x14ac:dyDescent="0.3">
      <c r="A179" s="404"/>
      <c r="B179" s="213" t="s">
        <v>15</v>
      </c>
      <c r="C179" s="122">
        <f t="shared" ref="C179:V179" si="36">SUM(C167:C178)</f>
        <v>0</v>
      </c>
      <c r="D179" s="124">
        <f t="shared" si="36"/>
        <v>0</v>
      </c>
      <c r="E179" s="124">
        <f t="shared" si="36"/>
        <v>0</v>
      </c>
      <c r="F179" s="123">
        <f t="shared" si="36"/>
        <v>0</v>
      </c>
      <c r="G179" s="124">
        <f t="shared" si="36"/>
        <v>0</v>
      </c>
      <c r="H179" s="124">
        <f t="shared" si="36"/>
        <v>0</v>
      </c>
      <c r="I179" s="123">
        <f t="shared" si="36"/>
        <v>338.16</v>
      </c>
      <c r="J179" s="124">
        <f t="shared" si="36"/>
        <v>437409.95</v>
      </c>
      <c r="K179" s="157">
        <f t="shared" si="36"/>
        <v>414888.70499999996</v>
      </c>
      <c r="L179" s="158">
        <f t="shared" si="36"/>
        <v>102.46000000000001</v>
      </c>
      <c r="M179" s="67">
        <f t="shared" si="36"/>
        <v>101013.87</v>
      </c>
      <c r="N179" s="67">
        <f t="shared" si="36"/>
        <v>208918.88</v>
      </c>
      <c r="O179" s="159">
        <f t="shared" si="36"/>
        <v>37.380000000000003</v>
      </c>
      <c r="P179" s="67">
        <f t="shared" si="36"/>
        <v>25790.7</v>
      </c>
      <c r="Q179" s="67">
        <f t="shared" si="36"/>
        <v>70413.78</v>
      </c>
      <c r="R179" s="69">
        <f t="shared" si="36"/>
        <v>0</v>
      </c>
      <c r="S179" s="67">
        <f t="shared" si="36"/>
        <v>0</v>
      </c>
      <c r="T179" s="67">
        <f t="shared" si="36"/>
        <v>0</v>
      </c>
      <c r="U179" s="69">
        <f t="shared" si="36"/>
        <v>0</v>
      </c>
      <c r="V179" s="67">
        <f t="shared" si="36"/>
        <v>0</v>
      </c>
      <c r="W179" s="67">
        <f>SUM(W167:W178)</f>
        <v>0</v>
      </c>
      <c r="X179" s="69">
        <f t="shared" ref="X179:AD179" si="37">SUM(X167:X178)</f>
        <v>0</v>
      </c>
      <c r="Y179" s="67">
        <f t="shared" si="37"/>
        <v>0</v>
      </c>
      <c r="Z179" s="67">
        <f t="shared" si="37"/>
        <v>0</v>
      </c>
      <c r="AA179" s="69">
        <f t="shared" si="37"/>
        <v>1.1299999999999999</v>
      </c>
      <c r="AB179" s="67">
        <f t="shared" si="37"/>
        <v>0</v>
      </c>
      <c r="AC179" s="67">
        <f t="shared" si="37"/>
        <v>3484.96</v>
      </c>
      <c r="AD179" s="68">
        <f t="shared" si="37"/>
        <v>2.476</v>
      </c>
      <c r="AE179" s="67">
        <f>SUM(AE167:AE178)</f>
        <v>26028.03</v>
      </c>
      <c r="AF179" s="67">
        <f>SUM(AF167:AF178)</f>
        <v>4652.8999999999996</v>
      </c>
      <c r="AG179" s="68">
        <f t="shared" ref="AG179:AK179" si="38">SUM(AG167:AG178)</f>
        <v>0</v>
      </c>
      <c r="AH179" s="67">
        <f t="shared" si="38"/>
        <v>0</v>
      </c>
      <c r="AI179" s="68">
        <f t="shared" si="38"/>
        <v>0</v>
      </c>
      <c r="AJ179" s="173">
        <f t="shared" si="38"/>
        <v>0</v>
      </c>
      <c r="AK179" s="174">
        <f t="shared" si="38"/>
        <v>0</v>
      </c>
      <c r="AL179" s="71"/>
      <c r="AM179" s="71">
        <f t="shared" ref="AM179:AP179" si="39">SUM(AM167:AM178)</f>
        <v>21691.25</v>
      </c>
      <c r="AN179" s="71">
        <f t="shared" si="39"/>
        <v>400342.15</v>
      </c>
      <c r="AO179" s="67">
        <f t="shared" si="39"/>
        <v>436193.64999999997</v>
      </c>
      <c r="AP179" s="74">
        <f t="shared" si="39"/>
        <v>15.878999999999998</v>
      </c>
      <c r="AQ179" s="74">
        <f>SUM(AQ167:AQ178)</f>
        <v>29.677800000000005</v>
      </c>
      <c r="AR179" s="74">
        <f t="shared" ref="AR179:AU179" si="40">SUM(AR167:AR178)</f>
        <v>38.110300000000002</v>
      </c>
      <c r="AS179" s="74">
        <f t="shared" si="40"/>
        <v>0</v>
      </c>
      <c r="AT179" s="68">
        <f t="shared" si="40"/>
        <v>8.5599999999999987</v>
      </c>
      <c r="AU179" s="67">
        <f t="shared" si="40"/>
        <v>47774</v>
      </c>
      <c r="AV179" s="140">
        <f>SUM(AV167:AV178)</f>
        <v>23458.149999999998</v>
      </c>
      <c r="AW179" s="136">
        <f t="shared" ref="AW179" si="41">SUM(AW167:AW178)</f>
        <v>2259</v>
      </c>
    </row>
    <row r="180" spans="1:50" ht="18.75" customHeight="1" thickBot="1" x14ac:dyDescent="0.3">
      <c r="A180" s="404"/>
      <c r="B180" s="200"/>
      <c r="C180" s="156"/>
      <c r="D180" s="380">
        <f>SUM(E179+D179)</f>
        <v>0</v>
      </c>
      <c r="E180" s="381"/>
      <c r="F180" s="156"/>
      <c r="G180" s="380">
        <f>SUM(H179+G179)</f>
        <v>0</v>
      </c>
      <c r="H180" s="381"/>
      <c r="I180" s="156"/>
      <c r="J180" s="380">
        <f>SUM(K179+J179)</f>
        <v>852298.65500000003</v>
      </c>
      <c r="K180" s="381"/>
      <c r="L180" s="160"/>
      <c r="M180" s="380">
        <f>SUM(N179+M179)</f>
        <v>309932.75</v>
      </c>
      <c r="N180" s="381"/>
      <c r="O180" s="160"/>
      <c r="P180" s="380">
        <f>SUM(Q179+P179)</f>
        <v>96204.479999999996</v>
      </c>
      <c r="Q180" s="381"/>
      <c r="R180" s="160"/>
      <c r="S180" s="380">
        <f>SUM(T179+S179)</f>
        <v>0</v>
      </c>
      <c r="T180" s="381"/>
      <c r="U180" s="160"/>
      <c r="V180" s="380">
        <f>SUM(W179+V179)</f>
        <v>0</v>
      </c>
      <c r="W180" s="381"/>
      <c r="X180" s="160"/>
      <c r="Y180" s="380">
        <f>SUM(Z179+Y179)</f>
        <v>0</v>
      </c>
      <c r="Z180" s="381"/>
      <c r="AA180" s="160"/>
      <c r="AB180" s="380">
        <f>SUM(AC179+AB179)</f>
        <v>3484.96</v>
      </c>
      <c r="AC180" s="381"/>
      <c r="AD180" s="162"/>
      <c r="AE180" s="380">
        <f>SUM(AF179+AE179)</f>
        <v>30680.93</v>
      </c>
      <c r="AF180" s="381"/>
      <c r="AG180" s="161"/>
      <c r="AH180" s="124"/>
      <c r="AI180" s="169"/>
      <c r="AJ180" s="171"/>
      <c r="AK180" s="172"/>
      <c r="AL180" s="170"/>
      <c r="AM180" s="127"/>
      <c r="AN180" s="127"/>
      <c r="AO180" s="124"/>
      <c r="AP180" s="128"/>
      <c r="AQ180" s="128"/>
      <c r="AR180" s="129"/>
      <c r="AS180" s="130"/>
      <c r="AT180" s="126"/>
      <c r="AU180" s="124"/>
      <c r="AV180" s="125"/>
      <c r="AW180" s="148"/>
    </row>
    <row r="181" spans="1:50" ht="18.75" customHeight="1" thickBot="1" x14ac:dyDescent="0.3">
      <c r="A181" s="411"/>
      <c r="B181" s="192"/>
      <c r="C181" s="182"/>
      <c r="D181" s="193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54"/>
      <c r="AM181" s="154"/>
      <c r="AN181" s="154"/>
      <c r="AO181" s="151"/>
      <c r="AP181" s="155"/>
      <c r="AQ181" s="155"/>
      <c r="AR181" s="155"/>
      <c r="AS181" s="155"/>
      <c r="AT181" s="152"/>
      <c r="AU181" s="151"/>
      <c r="AV181" s="151"/>
      <c r="AW181" s="133"/>
    </row>
    <row r="182" spans="1:50" ht="18.75" customHeight="1" x14ac:dyDescent="0.35">
      <c r="A182" s="412"/>
      <c r="B182" s="358" t="s">
        <v>212</v>
      </c>
      <c r="C182" s="356"/>
      <c r="D182" s="356"/>
      <c r="E182" s="356"/>
      <c r="F182" s="357"/>
      <c r="G182" s="177"/>
      <c r="H182" s="358" t="s">
        <v>228</v>
      </c>
      <c r="I182" s="356"/>
      <c r="J182" s="356"/>
      <c r="K182" s="356"/>
      <c r="L182" s="359"/>
      <c r="M182" s="236"/>
      <c r="N182" s="237"/>
      <c r="O182" s="177"/>
      <c r="P182" s="360" t="s">
        <v>231</v>
      </c>
      <c r="Q182" s="361"/>
      <c r="R182" s="362"/>
      <c r="S182" s="177"/>
      <c r="T182" s="363" t="s">
        <v>238</v>
      </c>
      <c r="U182" s="364"/>
      <c r="V182" s="365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54"/>
      <c r="AM182" s="154"/>
      <c r="AN182" s="154"/>
      <c r="AO182" s="151"/>
      <c r="AP182" s="155"/>
      <c r="AQ182" s="155"/>
      <c r="AR182" s="155"/>
      <c r="AS182" s="155"/>
      <c r="AT182" s="152"/>
      <c r="AU182" s="151"/>
      <c r="AV182" s="151"/>
      <c r="AW182" s="133"/>
    </row>
    <row r="183" spans="1:50" ht="18.75" customHeight="1" thickBot="1" x14ac:dyDescent="0.3">
      <c r="A183" s="412"/>
      <c r="B183" s="217" t="s">
        <v>244</v>
      </c>
      <c r="C183" s="214"/>
      <c r="D183" s="214"/>
      <c r="E183" s="214"/>
      <c r="F183" s="218"/>
      <c r="G183" s="177"/>
      <c r="H183" s="217" t="s">
        <v>244</v>
      </c>
      <c r="I183" s="223"/>
      <c r="J183" s="223"/>
      <c r="K183" s="223"/>
      <c r="L183" s="223"/>
      <c r="M183" s="255"/>
      <c r="N183" s="256"/>
      <c r="O183" s="177"/>
      <c r="P183" s="366" t="s">
        <v>244</v>
      </c>
      <c r="Q183" s="367"/>
      <c r="R183" s="368"/>
      <c r="S183" s="267"/>
      <c r="T183" s="86" t="s">
        <v>239</v>
      </c>
      <c r="U183" s="20" t="s">
        <v>240</v>
      </c>
      <c r="V183" s="14" t="s">
        <v>133</v>
      </c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54"/>
      <c r="AM183" s="154"/>
      <c r="AN183" s="154"/>
      <c r="AO183" s="151"/>
      <c r="AP183" s="155"/>
      <c r="AQ183" s="155"/>
      <c r="AR183" s="155"/>
      <c r="AS183" s="155"/>
      <c r="AT183" s="152"/>
      <c r="AU183" s="151"/>
      <c r="AV183" s="151"/>
      <c r="AW183" s="133"/>
      <c r="AX183" s="133"/>
    </row>
    <row r="184" spans="1:50" ht="18.75" customHeight="1" thickBot="1" x14ac:dyDescent="0.3">
      <c r="A184" s="412"/>
      <c r="B184" s="219" t="s">
        <v>0</v>
      </c>
      <c r="C184" s="220" t="s">
        <v>213</v>
      </c>
      <c r="D184" s="220" t="s">
        <v>214</v>
      </c>
      <c r="E184" s="220" t="s">
        <v>170</v>
      </c>
      <c r="F184" s="221" t="s">
        <v>215</v>
      </c>
      <c r="G184" s="177"/>
      <c r="H184" s="244" t="s">
        <v>0</v>
      </c>
      <c r="I184" s="246" t="s">
        <v>224</v>
      </c>
      <c r="J184" s="259" t="s">
        <v>225</v>
      </c>
      <c r="K184" s="246" t="s">
        <v>226</v>
      </c>
      <c r="L184" s="247" t="s">
        <v>229</v>
      </c>
      <c r="M184" s="262" t="s">
        <v>227</v>
      </c>
      <c r="N184" s="247" t="s">
        <v>225</v>
      </c>
      <c r="O184" s="177"/>
      <c r="P184" s="277" t="s">
        <v>0</v>
      </c>
      <c r="Q184" s="273" t="s">
        <v>224</v>
      </c>
      <c r="R184" s="247" t="s">
        <v>225</v>
      </c>
      <c r="S184" s="177"/>
      <c r="T184" s="290" t="s">
        <v>151</v>
      </c>
      <c r="U184" s="291" t="s">
        <v>151</v>
      </c>
      <c r="V184" s="292" t="s">
        <v>1</v>
      </c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  <c r="AL184" s="154"/>
      <c r="AM184" s="154"/>
      <c r="AN184" s="154"/>
      <c r="AO184" s="151"/>
      <c r="AP184" s="155"/>
      <c r="AQ184" s="155"/>
      <c r="AR184" s="155"/>
      <c r="AS184" s="155"/>
      <c r="AT184" s="152"/>
      <c r="AU184" s="151"/>
      <c r="AV184" s="151"/>
      <c r="AW184" s="133"/>
      <c r="AX184" s="133"/>
    </row>
    <row r="185" spans="1:50" ht="18.75" customHeight="1" x14ac:dyDescent="0.25">
      <c r="A185" s="412"/>
      <c r="B185" s="222"/>
      <c r="C185" s="223"/>
      <c r="D185" s="224" t="s">
        <v>2</v>
      </c>
      <c r="E185" s="224" t="s">
        <v>1</v>
      </c>
      <c r="F185" s="225"/>
      <c r="G185" s="177"/>
      <c r="H185" s="245"/>
      <c r="I185" s="369" t="s">
        <v>230</v>
      </c>
      <c r="J185" s="370"/>
      <c r="K185" s="371" t="s">
        <v>230</v>
      </c>
      <c r="L185" s="370"/>
      <c r="M185" s="372" t="s">
        <v>230</v>
      </c>
      <c r="N185" s="370"/>
      <c r="O185" s="177"/>
      <c r="P185" s="278"/>
      <c r="Q185" s="373" t="s">
        <v>232</v>
      </c>
      <c r="R185" s="374"/>
      <c r="S185" s="177"/>
      <c r="T185" s="101"/>
      <c r="U185" s="3"/>
      <c r="V185" s="21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  <c r="AH185" s="177"/>
      <c r="AI185" s="177"/>
      <c r="AJ185" s="177"/>
      <c r="AK185" s="177"/>
      <c r="AL185" s="154"/>
      <c r="AM185" s="154"/>
      <c r="AN185" s="154"/>
      <c r="AO185" s="151"/>
      <c r="AP185" s="155"/>
      <c r="AQ185" s="155"/>
      <c r="AR185" s="155"/>
      <c r="AS185" s="155"/>
      <c r="AT185" s="152"/>
      <c r="AU185" s="151"/>
      <c r="AV185" s="151"/>
      <c r="AW185" s="133"/>
      <c r="AX185" s="133"/>
    </row>
    <row r="186" spans="1:50" ht="18.75" customHeight="1" x14ac:dyDescent="0.25">
      <c r="A186" s="412"/>
      <c r="B186" s="215" t="s">
        <v>3</v>
      </c>
      <c r="C186" s="214">
        <v>34.36</v>
      </c>
      <c r="D186" s="226">
        <v>35554.01</v>
      </c>
      <c r="E186" s="226">
        <v>112453.9</v>
      </c>
      <c r="F186" s="218"/>
      <c r="G186" s="177"/>
      <c r="H186" s="245" t="s">
        <v>245</v>
      </c>
      <c r="I186" s="248">
        <v>1.46</v>
      </c>
      <c r="J186" s="260">
        <v>3324.42</v>
      </c>
      <c r="K186" s="266">
        <v>2.65</v>
      </c>
      <c r="L186" s="238">
        <v>530</v>
      </c>
      <c r="M186" s="251">
        <v>14.03</v>
      </c>
      <c r="N186" s="238">
        <v>30252.18</v>
      </c>
      <c r="O186" s="177"/>
      <c r="P186" s="278" t="s">
        <v>245</v>
      </c>
      <c r="Q186" s="274">
        <v>0.86</v>
      </c>
      <c r="R186" s="268">
        <v>18716.259999999998</v>
      </c>
      <c r="S186" s="177"/>
      <c r="T186" s="102"/>
      <c r="U186" s="7"/>
      <c r="V186" s="9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54"/>
      <c r="AM186" s="154"/>
      <c r="AN186" s="154"/>
      <c r="AO186" s="151"/>
      <c r="AP186" s="155"/>
      <c r="AQ186" s="155"/>
      <c r="AR186" s="155"/>
      <c r="AS186" s="155"/>
      <c r="AT186" s="152"/>
      <c r="AU186" s="151"/>
      <c r="AV186" s="151"/>
      <c r="AW186" s="133"/>
      <c r="AX186" s="133"/>
    </row>
    <row r="187" spans="1:50" ht="18.75" customHeight="1" x14ac:dyDescent="0.25">
      <c r="A187" s="412"/>
      <c r="B187" s="215" t="s">
        <v>4</v>
      </c>
      <c r="C187" s="214">
        <v>32.43</v>
      </c>
      <c r="D187" s="226">
        <v>33556.94</v>
      </c>
      <c r="E187" s="226">
        <v>127649.4</v>
      </c>
      <c r="F187" s="218"/>
      <c r="G187" s="177"/>
      <c r="H187" s="245" t="s">
        <v>4</v>
      </c>
      <c r="I187" s="248">
        <v>1.99</v>
      </c>
      <c r="J187" s="260">
        <v>4531.2299999999996</v>
      </c>
      <c r="K187" s="266">
        <v>1.08</v>
      </c>
      <c r="L187" s="238">
        <v>216</v>
      </c>
      <c r="M187" s="251">
        <v>6.63</v>
      </c>
      <c r="N187" s="238">
        <v>14295.93</v>
      </c>
      <c r="O187" s="177"/>
      <c r="P187" s="278" t="s">
        <v>4</v>
      </c>
      <c r="Q187" s="274">
        <v>1.34</v>
      </c>
      <c r="R187" s="268">
        <v>19393.61</v>
      </c>
      <c r="S187" s="177"/>
      <c r="T187" s="102"/>
      <c r="U187" s="7"/>
      <c r="V187" s="9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54"/>
      <c r="AM187" s="154"/>
      <c r="AN187" s="154"/>
      <c r="AO187" s="151"/>
      <c r="AP187" s="155"/>
      <c r="AQ187" s="155"/>
      <c r="AR187" s="155"/>
      <c r="AS187" s="155"/>
      <c r="AT187" s="152"/>
      <c r="AU187" s="151"/>
      <c r="AV187" s="151"/>
      <c r="AW187" s="133"/>
      <c r="AX187" s="133"/>
    </row>
    <row r="188" spans="1:50" ht="18.75" customHeight="1" x14ac:dyDescent="0.25">
      <c r="A188" s="412"/>
      <c r="B188" s="215" t="s">
        <v>5</v>
      </c>
      <c r="C188" s="214">
        <v>35.78</v>
      </c>
      <c r="D188" s="226">
        <v>37023.355000000003</v>
      </c>
      <c r="E188" s="226">
        <v>122956.9</v>
      </c>
      <c r="F188" s="218"/>
      <c r="G188" s="177"/>
      <c r="H188" s="245" t="s">
        <v>246</v>
      </c>
      <c r="I188" s="248">
        <v>2.08</v>
      </c>
      <c r="J188" s="260">
        <v>4736.16</v>
      </c>
      <c r="K188" s="266">
        <v>1.9</v>
      </c>
      <c r="L188" s="238">
        <v>380</v>
      </c>
      <c r="M188" s="251">
        <v>13.96</v>
      </c>
      <c r="N188" s="238">
        <v>30101.25</v>
      </c>
      <c r="O188" s="177"/>
      <c r="P188" s="278" t="s">
        <v>246</v>
      </c>
      <c r="Q188" s="274">
        <v>1.56</v>
      </c>
      <c r="R188" s="268">
        <v>19494.64</v>
      </c>
      <c r="S188" s="177"/>
      <c r="T188" s="102"/>
      <c r="U188" s="7"/>
      <c r="V188" s="9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54"/>
      <c r="AM188" s="154"/>
      <c r="AN188" s="154"/>
      <c r="AO188" s="151"/>
      <c r="AP188" s="155"/>
      <c r="AQ188" s="155"/>
      <c r="AR188" s="155"/>
      <c r="AS188" s="155"/>
      <c r="AT188" s="152"/>
      <c r="AU188" s="151"/>
      <c r="AV188" s="151"/>
      <c r="AW188" s="133"/>
      <c r="AX188" s="133"/>
    </row>
    <row r="189" spans="1:50" ht="18.75" customHeight="1" x14ac:dyDescent="0.25">
      <c r="A189" s="412"/>
      <c r="B189" s="215" t="s">
        <v>6</v>
      </c>
      <c r="C189" s="214">
        <v>31.5</v>
      </c>
      <c r="D189" s="226">
        <v>32594.62</v>
      </c>
      <c r="E189" s="226">
        <v>100369.7</v>
      </c>
      <c r="F189" s="218"/>
      <c r="G189" s="177"/>
      <c r="H189" s="245" t="s">
        <v>247</v>
      </c>
      <c r="I189" s="248">
        <v>1.64</v>
      </c>
      <c r="J189" s="260">
        <v>3734.28</v>
      </c>
      <c r="K189" s="266">
        <v>2.3199999999999998</v>
      </c>
      <c r="L189" s="238">
        <v>464</v>
      </c>
      <c r="M189" s="251">
        <v>17.149999999999999</v>
      </c>
      <c r="N189" s="238">
        <v>36979.68</v>
      </c>
      <c r="O189" s="177"/>
      <c r="P189" s="278" t="s">
        <v>247</v>
      </c>
      <c r="Q189" s="274">
        <v>1.44</v>
      </c>
      <c r="R189" s="268">
        <v>19398.38</v>
      </c>
      <c r="S189" s="177"/>
      <c r="T189" s="102"/>
      <c r="U189" s="7"/>
      <c r="V189" s="9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54"/>
      <c r="AM189" s="154"/>
      <c r="AN189" s="154"/>
      <c r="AO189" s="151"/>
      <c r="AP189" s="155"/>
      <c r="AQ189" s="155"/>
      <c r="AR189" s="155"/>
      <c r="AS189" s="155"/>
      <c r="AT189" s="152"/>
      <c r="AU189" s="151"/>
      <c r="AV189" s="151"/>
      <c r="AW189" s="133"/>
      <c r="AX189" s="133"/>
    </row>
    <row r="190" spans="1:50" ht="18.75" customHeight="1" x14ac:dyDescent="0.25">
      <c r="A190" s="412"/>
      <c r="B190" s="215" t="s">
        <v>7</v>
      </c>
      <c r="C190" s="214">
        <v>43.96</v>
      </c>
      <c r="D190" s="226">
        <v>45487.61</v>
      </c>
      <c r="E190" s="226">
        <v>125018.2</v>
      </c>
      <c r="F190" s="218"/>
      <c r="G190" s="177"/>
      <c r="H190" s="245" t="s">
        <v>248</v>
      </c>
      <c r="I190" s="248">
        <v>3.02</v>
      </c>
      <c r="J190" s="260">
        <v>6876.54</v>
      </c>
      <c r="K190" s="266">
        <v>0.89</v>
      </c>
      <c r="L190" s="238">
        <v>178</v>
      </c>
      <c r="M190" s="251">
        <v>27.92</v>
      </c>
      <c r="N190" s="238">
        <v>60202.5</v>
      </c>
      <c r="O190" s="177"/>
      <c r="P190" s="278" t="s">
        <v>248</v>
      </c>
      <c r="Q190" s="274">
        <v>3</v>
      </c>
      <c r="R190" s="268">
        <v>38944.89</v>
      </c>
      <c r="S190" s="177"/>
      <c r="T190" s="102">
        <v>3.31</v>
      </c>
      <c r="U190" s="7"/>
      <c r="V190" s="9">
        <v>4073.76</v>
      </c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54"/>
      <c r="AM190" s="154"/>
      <c r="AN190" s="154"/>
      <c r="AO190" s="151"/>
      <c r="AP190" s="155"/>
      <c r="AQ190" s="155"/>
      <c r="AR190" s="155"/>
      <c r="AS190" s="155"/>
      <c r="AT190" s="152"/>
      <c r="AU190" s="151"/>
      <c r="AV190" s="151"/>
      <c r="AW190" s="133"/>
      <c r="AX190" s="133"/>
    </row>
    <row r="191" spans="1:50" ht="18.75" customHeight="1" x14ac:dyDescent="0.25">
      <c r="A191" s="412"/>
      <c r="B191" s="215" t="s">
        <v>8</v>
      </c>
      <c r="C191" s="214">
        <v>34.08</v>
      </c>
      <c r="D191" s="226">
        <v>35264.28</v>
      </c>
      <c r="E191" s="226">
        <v>101189.7</v>
      </c>
      <c r="F191" s="218"/>
      <c r="G191" s="177"/>
      <c r="H191" s="245" t="s">
        <v>249</v>
      </c>
      <c r="I191" s="248">
        <v>5.08</v>
      </c>
      <c r="J191" s="260">
        <v>11567.16</v>
      </c>
      <c r="K191" s="266">
        <v>3.31</v>
      </c>
      <c r="L191" s="238">
        <v>662</v>
      </c>
      <c r="M191" s="251">
        <v>26.73</v>
      </c>
      <c r="N191" s="238">
        <v>57636.56</v>
      </c>
      <c r="O191" s="177"/>
      <c r="P191" s="278" t="s">
        <v>249</v>
      </c>
      <c r="Q191" s="274">
        <v>1.36</v>
      </c>
      <c r="R191" s="268">
        <v>19374.29</v>
      </c>
      <c r="S191" s="177"/>
      <c r="T191" s="102"/>
      <c r="U191" s="7"/>
      <c r="V191" s="9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54"/>
      <c r="AM191" s="154"/>
      <c r="AN191" s="154"/>
      <c r="AO191" s="151"/>
      <c r="AP191" s="155"/>
      <c r="AQ191" s="155"/>
      <c r="AR191" s="155"/>
      <c r="AS191" s="155"/>
      <c r="AT191" s="152"/>
      <c r="AU191" s="151"/>
      <c r="AV191" s="151"/>
      <c r="AW191" s="133"/>
      <c r="AX191" s="133"/>
    </row>
    <row r="192" spans="1:50" ht="18.75" customHeight="1" x14ac:dyDescent="0.25">
      <c r="A192" s="412"/>
      <c r="B192" s="215" t="s">
        <v>9</v>
      </c>
      <c r="C192" s="214">
        <v>34.659999999999997</v>
      </c>
      <c r="D192" s="226">
        <v>35864.43</v>
      </c>
      <c r="E192" s="226">
        <v>107236.4</v>
      </c>
      <c r="F192" s="218"/>
      <c r="G192" s="177"/>
      <c r="H192" s="245" t="s">
        <v>250</v>
      </c>
      <c r="I192" s="248">
        <v>3.06</v>
      </c>
      <c r="J192" s="260">
        <v>6967.62</v>
      </c>
      <c r="K192" s="266">
        <v>3.21</v>
      </c>
      <c r="L192" s="238">
        <v>642</v>
      </c>
      <c r="M192" s="251">
        <v>27.12</v>
      </c>
      <c r="N192" s="238">
        <v>58477.5</v>
      </c>
      <c r="O192" s="177"/>
      <c r="P192" s="278" t="s">
        <v>250</v>
      </c>
      <c r="Q192" s="274">
        <v>1.64</v>
      </c>
      <c r="R192" s="268">
        <v>19598.46</v>
      </c>
      <c r="S192" s="177"/>
      <c r="T192" s="102"/>
      <c r="U192" s="7"/>
      <c r="V192" s="9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54"/>
      <c r="AM192" s="154"/>
      <c r="AN192" s="154"/>
      <c r="AO192" s="151"/>
      <c r="AP192" s="155"/>
      <c r="AQ192" s="155"/>
      <c r="AR192" s="155"/>
      <c r="AS192" s="155"/>
      <c r="AT192" s="152"/>
      <c r="AU192" s="151"/>
      <c r="AV192" s="151"/>
      <c r="AW192" s="133"/>
      <c r="AX192" s="133"/>
    </row>
    <row r="193" spans="1:50" ht="18.75" customHeight="1" x14ac:dyDescent="0.25">
      <c r="A193" s="412"/>
      <c r="B193" s="215" t="s">
        <v>10</v>
      </c>
      <c r="C193" s="214">
        <v>46.34</v>
      </c>
      <c r="D193" s="226">
        <v>47950.31</v>
      </c>
      <c r="E193" s="226">
        <v>134697.20000000001</v>
      </c>
      <c r="F193" s="218"/>
      <c r="G193" s="177"/>
      <c r="H193" s="245" t="s">
        <v>251</v>
      </c>
      <c r="I193" s="248">
        <v>4.1100000000000003</v>
      </c>
      <c r="J193" s="260">
        <v>9358.4699999999993</v>
      </c>
      <c r="K193" s="266">
        <v>2.38</v>
      </c>
      <c r="L193" s="238">
        <v>476</v>
      </c>
      <c r="M193" s="251">
        <v>32.08</v>
      </c>
      <c r="N193" s="238">
        <v>69172.5</v>
      </c>
      <c r="O193" s="177"/>
      <c r="P193" s="278" t="s">
        <v>251</v>
      </c>
      <c r="Q193" s="274">
        <v>1.49</v>
      </c>
      <c r="R193" s="268">
        <v>19449.099999999999</v>
      </c>
      <c r="S193" s="177"/>
      <c r="T193" s="102"/>
      <c r="U193" s="7"/>
      <c r="V193" s="9"/>
      <c r="W193" s="177"/>
      <c r="X193" s="177"/>
      <c r="Y193" s="177" t="s">
        <v>241</v>
      </c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54"/>
      <c r="AM193" s="154"/>
      <c r="AN193" s="154"/>
      <c r="AO193" s="151"/>
      <c r="AP193" s="155"/>
      <c r="AQ193" s="155"/>
      <c r="AR193" s="155"/>
      <c r="AS193" s="155"/>
      <c r="AT193" s="152"/>
      <c r="AU193" s="151"/>
      <c r="AV193" s="151"/>
      <c r="AW193" s="133"/>
      <c r="AX193" s="133"/>
    </row>
    <row r="194" spans="1:50" ht="18.75" customHeight="1" x14ac:dyDescent="0.25">
      <c r="A194" s="412"/>
      <c r="B194" s="215" t="s">
        <v>11</v>
      </c>
      <c r="C194" s="214">
        <v>36.14</v>
      </c>
      <c r="D194" s="226">
        <v>37395.86</v>
      </c>
      <c r="E194" s="226">
        <v>108429.5</v>
      </c>
      <c r="F194" s="218"/>
      <c r="G194" s="177"/>
      <c r="H194" s="245" t="s">
        <v>252</v>
      </c>
      <c r="I194" s="248">
        <v>2.62</v>
      </c>
      <c r="J194" s="260">
        <v>5965.74</v>
      </c>
      <c r="K194" s="266">
        <v>3.32</v>
      </c>
      <c r="L194" s="238">
        <v>664</v>
      </c>
      <c r="M194" s="251">
        <v>27.19</v>
      </c>
      <c r="N194" s="238">
        <v>58628.43</v>
      </c>
      <c r="O194" s="177"/>
      <c r="P194" s="278" t="s">
        <v>252</v>
      </c>
      <c r="Q194" s="274">
        <v>1.74</v>
      </c>
      <c r="R194" s="268">
        <v>19728.61</v>
      </c>
      <c r="S194" s="177"/>
      <c r="T194" s="102"/>
      <c r="U194" s="7"/>
      <c r="V194" s="9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54"/>
      <c r="AM194" s="154"/>
      <c r="AN194" s="154"/>
      <c r="AO194" s="151"/>
      <c r="AP194" s="155"/>
      <c r="AQ194" s="155"/>
      <c r="AR194" s="155"/>
      <c r="AS194" s="155"/>
      <c r="AT194" s="152"/>
      <c r="AU194" s="151"/>
      <c r="AV194" s="151"/>
      <c r="AW194" s="133"/>
      <c r="AX194" s="133"/>
    </row>
    <row r="195" spans="1:50" ht="18.75" customHeight="1" x14ac:dyDescent="0.25">
      <c r="A195" s="412"/>
      <c r="B195" s="215" t="s">
        <v>12</v>
      </c>
      <c r="C195" s="214">
        <v>41.06</v>
      </c>
      <c r="D195" s="226">
        <v>42486.83</v>
      </c>
      <c r="E195" s="226">
        <v>120465.4</v>
      </c>
      <c r="F195" s="218"/>
      <c r="G195" s="177"/>
      <c r="H195" s="245" t="s">
        <v>254</v>
      </c>
      <c r="I195" s="248">
        <v>2.74</v>
      </c>
      <c r="J195" s="260">
        <v>6238.98</v>
      </c>
      <c r="K195" s="266">
        <v>1.26</v>
      </c>
      <c r="L195" s="238">
        <v>252</v>
      </c>
      <c r="M195" s="251">
        <v>29.09</v>
      </c>
      <c r="N195" s="238">
        <v>62725.31</v>
      </c>
      <c r="O195" s="177"/>
      <c r="P195" s="278" t="s">
        <v>253</v>
      </c>
      <c r="Q195" s="274">
        <v>1.56</v>
      </c>
      <c r="R195" s="268">
        <v>19596.009999999998</v>
      </c>
      <c r="S195" s="177"/>
      <c r="T195" s="102"/>
      <c r="U195" s="7"/>
      <c r="V195" s="9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54"/>
      <c r="AM195" s="154"/>
      <c r="AN195" s="154"/>
      <c r="AO195" s="151"/>
      <c r="AP195" s="155"/>
      <c r="AQ195" s="155"/>
      <c r="AR195" s="155"/>
      <c r="AS195" s="155"/>
      <c r="AT195" s="152"/>
      <c r="AU195" s="151"/>
      <c r="AV195" s="151"/>
      <c r="AW195" s="133"/>
      <c r="AX195" s="133"/>
    </row>
    <row r="196" spans="1:50" ht="18.75" customHeight="1" x14ac:dyDescent="0.25">
      <c r="A196" s="412"/>
      <c r="B196" s="215" t="s">
        <v>13</v>
      </c>
      <c r="C196" s="227">
        <v>41.76</v>
      </c>
      <c r="D196" s="226">
        <v>43211.16</v>
      </c>
      <c r="E196" s="226">
        <v>129293.9</v>
      </c>
      <c r="F196" s="218"/>
      <c r="G196" s="177"/>
      <c r="H196" s="245" t="s">
        <v>259</v>
      </c>
      <c r="I196" s="249">
        <v>2.63</v>
      </c>
      <c r="J196" s="260">
        <v>5988.51</v>
      </c>
      <c r="K196" s="266">
        <v>1.35</v>
      </c>
      <c r="L196" s="238">
        <v>270</v>
      </c>
      <c r="M196" s="251">
        <v>20.85</v>
      </c>
      <c r="N196" s="238">
        <v>44957.81</v>
      </c>
      <c r="O196" s="177"/>
      <c r="P196" s="278" t="s">
        <v>259</v>
      </c>
      <c r="Q196" s="275">
        <v>1.84</v>
      </c>
      <c r="R196" s="268">
        <v>19891.330000000002</v>
      </c>
      <c r="S196" s="177"/>
      <c r="T196" s="102">
        <v>2.6</v>
      </c>
      <c r="U196" s="7"/>
      <c r="V196" s="9">
        <v>4489.1400000000003</v>
      </c>
      <c r="W196" s="177"/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  <c r="AH196" s="177"/>
      <c r="AI196" s="177"/>
      <c r="AJ196" s="177"/>
      <c r="AK196" s="177"/>
      <c r="AL196" s="154"/>
      <c r="AM196" s="154"/>
      <c r="AN196" s="154"/>
      <c r="AO196" s="151"/>
      <c r="AP196" s="155"/>
      <c r="AQ196" s="155"/>
      <c r="AR196" s="155"/>
      <c r="AS196" s="155"/>
      <c r="AT196" s="152"/>
      <c r="AU196" s="151"/>
      <c r="AV196" s="151"/>
      <c r="AW196" s="133"/>
      <c r="AX196" s="133"/>
    </row>
    <row r="197" spans="1:50" ht="18.75" customHeight="1" thickBot="1" x14ac:dyDescent="0.3">
      <c r="A197" s="412"/>
      <c r="B197" s="215" t="s">
        <v>14</v>
      </c>
      <c r="C197" s="214">
        <v>33.06</v>
      </c>
      <c r="D197" s="226">
        <v>34208.83</v>
      </c>
      <c r="E197" s="226">
        <v>114538.9</v>
      </c>
      <c r="F197" s="218"/>
      <c r="G197" s="177"/>
      <c r="H197" s="245" t="s">
        <v>260</v>
      </c>
      <c r="I197" s="250">
        <v>1.27</v>
      </c>
      <c r="J197" s="261">
        <v>2891.79</v>
      </c>
      <c r="K197" s="295">
        <v>2.4500000000000002</v>
      </c>
      <c r="L197" s="254">
        <v>490</v>
      </c>
      <c r="M197" s="263">
        <v>15.05</v>
      </c>
      <c r="N197" s="254">
        <v>32451.56</v>
      </c>
      <c r="O197" s="177"/>
      <c r="P197" s="279" t="s">
        <v>260</v>
      </c>
      <c r="Q197" s="276">
        <v>1.56</v>
      </c>
      <c r="R197" s="269">
        <v>19586.580000000002</v>
      </c>
      <c r="S197" s="177"/>
      <c r="T197" s="15"/>
      <c r="U197" s="17"/>
      <c r="V197" s="78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  <c r="AL197" s="154"/>
      <c r="AM197" s="154"/>
      <c r="AN197" s="154"/>
      <c r="AO197" s="151"/>
      <c r="AP197" s="155"/>
      <c r="AQ197" s="155"/>
      <c r="AR197" s="155"/>
      <c r="AS197" s="155"/>
      <c r="AT197" s="152"/>
      <c r="AU197" s="151"/>
      <c r="AV197" s="151"/>
      <c r="AW197" s="133"/>
      <c r="AX197" s="133"/>
    </row>
    <row r="198" spans="1:50" ht="18.75" customHeight="1" thickBot="1" x14ac:dyDescent="0.3">
      <c r="A198" s="412"/>
      <c r="B198" s="216" t="s">
        <v>15</v>
      </c>
      <c r="C198" s="228">
        <f>SUM(C186:C197)</f>
        <v>445.13</v>
      </c>
      <c r="D198" s="229">
        <f>SUM(D186:D197)</f>
        <v>460598.23500000004</v>
      </c>
      <c r="E198" s="229">
        <f>SUM(E186:E197)</f>
        <v>1404299.0999999996</v>
      </c>
      <c r="F198" s="230"/>
      <c r="G198" s="177"/>
      <c r="H198" s="239" t="s">
        <v>15</v>
      </c>
      <c r="I198" s="228">
        <f t="shared" ref="I198:J198" si="42">SUM(I186:I197)</f>
        <v>31.699999999999996</v>
      </c>
      <c r="J198" s="229">
        <f t="shared" si="42"/>
        <v>72180.899999999994</v>
      </c>
      <c r="K198" s="265">
        <f>SUM(K186:K197)</f>
        <v>26.12</v>
      </c>
      <c r="L198" s="252">
        <f t="shared" ref="L198:N198" si="43">SUM(L186:L197)</f>
        <v>5224</v>
      </c>
      <c r="M198" s="257">
        <f t="shared" si="43"/>
        <v>257.8</v>
      </c>
      <c r="N198" s="258">
        <f t="shared" si="43"/>
        <v>555881.21</v>
      </c>
      <c r="O198" s="177"/>
      <c r="P198" s="270" t="s">
        <v>15</v>
      </c>
      <c r="Q198" s="271">
        <f t="shared" ref="Q198:R198" si="44">SUM(Q186:Q197)</f>
        <v>19.39</v>
      </c>
      <c r="R198" s="272">
        <f t="shared" si="44"/>
        <v>253172.16000000003</v>
      </c>
      <c r="S198" s="177"/>
      <c r="T198" s="293">
        <f>SUM(T185:T196)</f>
        <v>5.91</v>
      </c>
      <c r="U198" s="173">
        <f>SUM(U185:U196)</f>
        <v>0</v>
      </c>
      <c r="V198" s="294">
        <f>SUM(V185:V196)</f>
        <v>8562.9000000000015</v>
      </c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  <c r="AL198" s="154"/>
      <c r="AM198" s="154"/>
      <c r="AN198" s="154"/>
      <c r="AO198" s="151"/>
      <c r="AP198" s="155"/>
      <c r="AQ198" s="155"/>
      <c r="AR198" s="155"/>
      <c r="AS198" s="155"/>
      <c r="AT198" s="152"/>
      <c r="AU198" s="151"/>
      <c r="AV198" s="151"/>
      <c r="AW198" s="133"/>
      <c r="AX198" s="133"/>
    </row>
    <row r="199" spans="1:50" ht="18.75" customHeight="1" thickBot="1" x14ac:dyDescent="0.3">
      <c r="A199" s="411"/>
      <c r="B199" s="342" t="s">
        <v>258</v>
      </c>
      <c r="C199" s="342"/>
      <c r="D199" s="343">
        <f>SUM(E198+D198+D180+G180+J180+J198+N198+R198+M180+P180+S180+V180+Y180+AB180+AE180-AN179+AO179-AU179+AV179-AM179)</f>
        <v>4028577.78</v>
      </c>
      <c r="E199" s="344"/>
      <c r="F199" s="345"/>
      <c r="G199" s="177"/>
      <c r="H199" s="243"/>
      <c r="I199" s="243"/>
      <c r="J199" s="240"/>
      <c r="K199" s="240"/>
      <c r="L199" s="240"/>
      <c r="M199" s="241"/>
      <c r="N199" s="241"/>
      <c r="O199" s="177"/>
      <c r="P199" s="177"/>
      <c r="Q199" s="177"/>
      <c r="R199" s="177"/>
      <c r="S199" s="177"/>
      <c r="T199" s="289"/>
      <c r="U199" s="287">
        <f>SUM(V198+U198)</f>
        <v>8562.9000000000015</v>
      </c>
      <c r="V199" s="288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54"/>
      <c r="AM199" s="154"/>
      <c r="AN199" s="154"/>
      <c r="AO199" s="151"/>
      <c r="AP199" s="155"/>
      <c r="AQ199" s="155"/>
      <c r="AR199" s="155"/>
      <c r="AS199" s="155"/>
      <c r="AT199" s="152"/>
      <c r="AU199" s="151"/>
      <c r="AV199" s="151"/>
      <c r="AW199" s="133"/>
      <c r="AX199" s="133"/>
    </row>
    <row r="200" spans="1:50" ht="18.75" customHeight="1" thickBot="1" x14ac:dyDescent="0.3">
      <c r="A200" s="411"/>
      <c r="B200" s="346" t="s">
        <v>206</v>
      </c>
      <c r="C200" s="346"/>
      <c r="D200" s="347">
        <f>SUM(C198+C179+F179+I179+L179+O179+R179+M198)</f>
        <v>1180.93</v>
      </c>
      <c r="E200" s="348"/>
      <c r="F200" s="349"/>
      <c r="G200" s="177"/>
      <c r="H200" s="280" t="s">
        <v>236</v>
      </c>
      <c r="I200" s="281">
        <f>SUM(AP179+I198+Q198)</f>
        <v>66.968999999999994</v>
      </c>
      <c r="J200" s="242"/>
      <c r="K200" s="282" t="s">
        <v>27</v>
      </c>
      <c r="L200" s="283">
        <f>SUM(AR179+K198)</f>
        <v>64.2303</v>
      </c>
      <c r="M200" s="241"/>
      <c r="N200" s="284" t="s">
        <v>237</v>
      </c>
      <c r="O200" s="285">
        <f>SUM(F179+C198+M198+C179)</f>
        <v>702.93000000000006</v>
      </c>
      <c r="P200" s="177"/>
      <c r="Q200" s="286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54"/>
      <c r="AM200" s="154"/>
      <c r="AN200" s="154"/>
      <c r="AO200" s="151"/>
      <c r="AP200" s="155"/>
      <c r="AQ200" s="155"/>
      <c r="AR200" s="155"/>
      <c r="AS200" s="155"/>
      <c r="AT200" s="152"/>
      <c r="AU200" s="151"/>
      <c r="AV200" s="151"/>
      <c r="AW200" s="133"/>
      <c r="AX200" s="133"/>
    </row>
    <row r="201" spans="1:50" ht="18.75" customHeight="1" thickBot="1" x14ac:dyDescent="0.3">
      <c r="A201" s="413"/>
      <c r="B201" s="399" t="s">
        <v>207</v>
      </c>
      <c r="C201" s="399"/>
      <c r="D201" s="400">
        <f>SUM(E198+E179+H179+K179+Q179+N179+T179+W179+Z179+AC179+AF179+AV179)</f>
        <v>2130116.4749999996</v>
      </c>
      <c r="E201" s="401"/>
      <c r="F201" s="402"/>
      <c r="G201" s="177"/>
      <c r="H201" s="243"/>
      <c r="I201" s="243"/>
      <c r="J201" s="241"/>
      <c r="K201" s="241"/>
      <c r="L201" s="241"/>
      <c r="M201" s="241"/>
      <c r="N201" s="241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  <c r="AL201" s="154"/>
      <c r="AM201" s="154"/>
      <c r="AN201" s="154"/>
      <c r="AO201" s="151"/>
      <c r="AP201" s="155"/>
      <c r="AQ201" s="155"/>
      <c r="AR201" s="155"/>
      <c r="AS201" s="155"/>
      <c r="AT201" s="152"/>
      <c r="AU201" s="151"/>
      <c r="AV201" s="151"/>
      <c r="AW201" s="133"/>
      <c r="AX201" s="133"/>
    </row>
    <row r="202" spans="1:50" ht="15.75" x14ac:dyDescent="0.25">
      <c r="C202" s="296"/>
      <c r="D202" s="31"/>
      <c r="E202" s="31"/>
      <c r="F202" s="296"/>
      <c r="G202" s="296"/>
      <c r="H202" s="296"/>
      <c r="I202" s="296"/>
      <c r="J202" s="296"/>
      <c r="K202" s="296"/>
      <c r="L202" s="167"/>
      <c r="M202" s="31"/>
      <c r="N202" s="31"/>
      <c r="O202" s="167"/>
      <c r="P202" s="31"/>
      <c r="Q202" s="31"/>
      <c r="R202" s="297"/>
      <c r="S202" s="31"/>
      <c r="T202" s="31"/>
      <c r="U202" s="167"/>
      <c r="V202" s="31"/>
      <c r="W202" s="31"/>
      <c r="X202" s="167"/>
      <c r="Y202" s="31"/>
      <c r="Z202" s="31"/>
      <c r="AA202" s="167"/>
      <c r="AB202" s="31"/>
      <c r="AC202" s="31"/>
      <c r="AD202" s="167"/>
      <c r="AE202" s="167"/>
      <c r="AF202" s="167"/>
      <c r="AG202" s="167"/>
      <c r="AH202" s="31"/>
      <c r="AI202" s="167"/>
      <c r="AJ202" s="31"/>
      <c r="AK202" s="298"/>
      <c r="AL202" s="298"/>
      <c r="AM202" s="298"/>
      <c r="AN202" s="298"/>
      <c r="AO202" s="296"/>
      <c r="AP202" s="296"/>
      <c r="AQ202" s="296"/>
      <c r="AR202" s="31"/>
      <c r="AS202" s="298"/>
      <c r="AT202" s="167"/>
      <c r="AU202" s="167"/>
      <c r="AV202" s="167"/>
      <c r="AW202" s="131"/>
    </row>
    <row r="203" spans="1:50" ht="16.5" thickBot="1" x14ac:dyDescent="0.3">
      <c r="A203" t="s">
        <v>242</v>
      </c>
      <c r="C203" s="422" t="s">
        <v>205</v>
      </c>
      <c r="D203" s="423"/>
      <c r="E203" s="423"/>
      <c r="F203" s="422" t="s">
        <v>205</v>
      </c>
      <c r="G203" s="422"/>
      <c r="H203" s="422"/>
      <c r="I203" s="422" t="s">
        <v>205</v>
      </c>
      <c r="J203" s="423"/>
      <c r="K203" s="423"/>
      <c r="L203" s="422" t="s">
        <v>205</v>
      </c>
      <c r="M203" s="423"/>
      <c r="N203" s="423"/>
      <c r="O203" s="422" t="s">
        <v>205</v>
      </c>
      <c r="P203" s="423"/>
      <c r="Q203" s="423"/>
      <c r="R203" s="422" t="s">
        <v>205</v>
      </c>
      <c r="S203" s="423"/>
      <c r="T203" s="423"/>
      <c r="U203" s="422" t="s">
        <v>205</v>
      </c>
      <c r="V203" s="423"/>
      <c r="W203" s="423"/>
      <c r="X203" s="422" t="s">
        <v>205</v>
      </c>
      <c r="Y203" s="423"/>
      <c r="Z203" s="423"/>
      <c r="AA203" s="422" t="s">
        <v>205</v>
      </c>
      <c r="AB203" s="423"/>
      <c r="AC203" s="423"/>
      <c r="AD203" s="422" t="s">
        <v>205</v>
      </c>
      <c r="AE203" s="423"/>
      <c r="AF203" s="423"/>
      <c r="AG203" s="163"/>
      <c r="AH203" s="164"/>
      <c r="AI203" s="163"/>
      <c r="AJ203" s="164"/>
      <c r="AK203" s="149"/>
      <c r="AL203" s="149"/>
      <c r="AM203" s="149"/>
      <c r="AN203" s="149"/>
      <c r="AO203" s="165"/>
      <c r="AP203" s="165"/>
      <c r="AQ203" s="165"/>
      <c r="AR203" s="166"/>
      <c r="AS203" s="149"/>
      <c r="AT203" s="167"/>
      <c r="AU203" s="167"/>
      <c r="AV203" s="167"/>
    </row>
    <row r="204" spans="1:50" ht="18.75" customHeight="1" thickTop="1" thickBot="1" x14ac:dyDescent="0.3">
      <c r="B204" s="197" t="s">
        <v>219</v>
      </c>
      <c r="C204" s="383" t="s">
        <v>233</v>
      </c>
      <c r="D204" s="383"/>
      <c r="E204" s="384"/>
      <c r="F204" s="382" t="s">
        <v>235</v>
      </c>
      <c r="G204" s="383"/>
      <c r="H204" s="384"/>
      <c r="I204" s="382" t="s">
        <v>125</v>
      </c>
      <c r="J204" s="383"/>
      <c r="K204" s="385"/>
      <c r="L204" s="386" t="s">
        <v>129</v>
      </c>
      <c r="M204" s="364"/>
      <c r="N204" s="365"/>
      <c r="O204" s="363" t="s">
        <v>134</v>
      </c>
      <c r="P204" s="364"/>
      <c r="Q204" s="365"/>
      <c r="R204" s="387" t="s">
        <v>154</v>
      </c>
      <c r="S204" s="388"/>
      <c r="T204" s="389"/>
      <c r="U204" s="363" t="s">
        <v>158</v>
      </c>
      <c r="V204" s="364"/>
      <c r="W204" s="365"/>
      <c r="X204" s="363" t="s">
        <v>159</v>
      </c>
      <c r="Y204" s="364"/>
      <c r="Z204" s="365"/>
      <c r="AA204" s="363" t="s">
        <v>138</v>
      </c>
      <c r="AB204" s="364"/>
      <c r="AC204" s="365"/>
      <c r="AD204" s="363" t="s">
        <v>130</v>
      </c>
      <c r="AE204" s="364"/>
      <c r="AF204" s="365"/>
      <c r="AG204" s="414" t="s">
        <v>152</v>
      </c>
      <c r="AH204" s="415"/>
      <c r="AI204" s="416" t="s">
        <v>167</v>
      </c>
      <c r="AJ204" s="415"/>
      <c r="AK204" s="8"/>
      <c r="AL204" s="8"/>
      <c r="AM204" s="8"/>
      <c r="AN204" s="8"/>
      <c r="AO204" s="417" t="s">
        <v>99</v>
      </c>
      <c r="AP204" s="418"/>
      <c r="AQ204" s="418"/>
      <c r="AR204" s="419"/>
      <c r="AS204" s="8"/>
      <c r="AT204" s="363" t="s">
        <v>145</v>
      </c>
      <c r="AU204" s="364"/>
      <c r="AV204" s="365"/>
      <c r="AW204" s="141"/>
    </row>
    <row r="205" spans="1:50" ht="60" customHeight="1" x14ac:dyDescent="0.25">
      <c r="A205" s="403" t="s">
        <v>216</v>
      </c>
      <c r="B205" s="198" t="s">
        <v>0</v>
      </c>
      <c r="C205" s="110" t="s">
        <v>119</v>
      </c>
      <c r="D205" s="20" t="s">
        <v>120</v>
      </c>
      <c r="E205" s="14" t="s">
        <v>121</v>
      </c>
      <c r="F205" s="86" t="s">
        <v>119</v>
      </c>
      <c r="G205" s="20" t="s">
        <v>120</v>
      </c>
      <c r="H205" s="14" t="s">
        <v>121</v>
      </c>
      <c r="I205" s="86" t="s">
        <v>23</v>
      </c>
      <c r="J205" s="20" t="s">
        <v>122</v>
      </c>
      <c r="K205" s="111" t="s">
        <v>123</v>
      </c>
      <c r="L205" s="184" t="s">
        <v>131</v>
      </c>
      <c r="M205" s="20" t="s">
        <v>132</v>
      </c>
      <c r="N205" s="14" t="s">
        <v>133</v>
      </c>
      <c r="O205" s="86" t="s">
        <v>135</v>
      </c>
      <c r="P205" s="20" t="s">
        <v>136</v>
      </c>
      <c r="Q205" s="14" t="s">
        <v>137</v>
      </c>
      <c r="R205" s="86" t="s">
        <v>155</v>
      </c>
      <c r="S205" s="20" t="s">
        <v>156</v>
      </c>
      <c r="T205" s="14" t="s">
        <v>157</v>
      </c>
      <c r="U205" s="86" t="s">
        <v>160</v>
      </c>
      <c r="V205" s="20" t="s">
        <v>161</v>
      </c>
      <c r="W205" s="14" t="s">
        <v>162</v>
      </c>
      <c r="X205" s="86" t="s">
        <v>163</v>
      </c>
      <c r="Y205" s="20" t="s">
        <v>164</v>
      </c>
      <c r="Z205" s="14" t="s">
        <v>165</v>
      </c>
      <c r="AA205" s="86" t="s">
        <v>139</v>
      </c>
      <c r="AB205" s="20" t="s">
        <v>140</v>
      </c>
      <c r="AC205" s="14" t="s">
        <v>141</v>
      </c>
      <c r="AD205" s="86" t="s">
        <v>126</v>
      </c>
      <c r="AE205" s="20" t="s">
        <v>127</v>
      </c>
      <c r="AF205" s="14" t="s">
        <v>128</v>
      </c>
      <c r="AG205" s="20" t="s">
        <v>172</v>
      </c>
      <c r="AH205" s="20" t="s">
        <v>171</v>
      </c>
      <c r="AI205" s="20" t="s">
        <v>169</v>
      </c>
      <c r="AJ205" s="20" t="s">
        <v>170</v>
      </c>
      <c r="AK205" s="14" t="s">
        <v>173</v>
      </c>
      <c r="AL205" s="14" t="s">
        <v>97</v>
      </c>
      <c r="AM205" s="14" t="s">
        <v>101</v>
      </c>
      <c r="AN205" s="14" t="s">
        <v>66</v>
      </c>
      <c r="AO205" s="20" t="s">
        <v>202</v>
      </c>
      <c r="AP205" s="14" t="s">
        <v>90</v>
      </c>
      <c r="AQ205" s="14" t="s">
        <v>91</v>
      </c>
      <c r="AR205" s="14" t="s">
        <v>27</v>
      </c>
      <c r="AS205" s="14" t="s">
        <v>100</v>
      </c>
      <c r="AT205" s="86" t="s">
        <v>146</v>
      </c>
      <c r="AU205" s="22" t="s">
        <v>148</v>
      </c>
      <c r="AV205" s="183" t="s">
        <v>147</v>
      </c>
      <c r="AW205" s="135" t="s">
        <v>94</v>
      </c>
    </row>
    <row r="206" spans="1:50" ht="18.75" customHeight="1" thickBot="1" x14ac:dyDescent="0.3">
      <c r="A206" s="404"/>
      <c r="B206" s="199"/>
      <c r="C206" s="112" t="s">
        <v>151</v>
      </c>
      <c r="D206" s="18" t="s">
        <v>151</v>
      </c>
      <c r="E206" s="87" t="s">
        <v>1</v>
      </c>
      <c r="F206" s="90" t="s">
        <v>151</v>
      </c>
      <c r="G206" s="18" t="s">
        <v>151</v>
      </c>
      <c r="H206" s="87" t="s">
        <v>1</v>
      </c>
      <c r="I206" s="90" t="s">
        <v>151</v>
      </c>
      <c r="J206" s="18" t="s">
        <v>151</v>
      </c>
      <c r="K206" s="113" t="s">
        <v>1</v>
      </c>
      <c r="L206" s="85" t="s">
        <v>151</v>
      </c>
      <c r="M206" s="18" t="s">
        <v>151</v>
      </c>
      <c r="N206" s="87" t="s">
        <v>1</v>
      </c>
      <c r="O206" s="90" t="s">
        <v>151</v>
      </c>
      <c r="P206" s="18" t="s">
        <v>151</v>
      </c>
      <c r="Q206" s="87" t="s">
        <v>1</v>
      </c>
      <c r="R206" s="90" t="s">
        <v>151</v>
      </c>
      <c r="S206" s="18" t="s">
        <v>151</v>
      </c>
      <c r="T206" s="87" t="s">
        <v>1</v>
      </c>
      <c r="U206" s="90" t="s">
        <v>151</v>
      </c>
      <c r="V206" s="18" t="s">
        <v>151</v>
      </c>
      <c r="W206" s="87" t="s">
        <v>1</v>
      </c>
      <c r="X206" s="90" t="s">
        <v>151</v>
      </c>
      <c r="Y206" s="18" t="s">
        <v>151</v>
      </c>
      <c r="Z206" s="87" t="s">
        <v>1</v>
      </c>
      <c r="AA206" s="90" t="s">
        <v>151</v>
      </c>
      <c r="AB206" s="18" t="s">
        <v>151</v>
      </c>
      <c r="AC206" s="87" t="s">
        <v>1</v>
      </c>
      <c r="AD206" s="90" t="s">
        <v>151</v>
      </c>
      <c r="AE206" s="18" t="s">
        <v>151</v>
      </c>
      <c r="AF206" s="87" t="s">
        <v>151</v>
      </c>
      <c r="AG206" s="85" t="s">
        <v>17</v>
      </c>
      <c r="AH206" s="18" t="s">
        <v>18</v>
      </c>
      <c r="AI206" s="85" t="s">
        <v>168</v>
      </c>
      <c r="AJ206" s="18" t="s">
        <v>151</v>
      </c>
      <c r="AK206" s="18" t="s">
        <v>18</v>
      </c>
      <c r="AL206" s="18" t="s">
        <v>98</v>
      </c>
      <c r="AM206" s="18" t="s">
        <v>98</v>
      </c>
      <c r="AN206" s="18" t="s">
        <v>98</v>
      </c>
      <c r="AO206" s="18" t="s">
        <v>150</v>
      </c>
      <c r="AP206" s="18" t="s">
        <v>17</v>
      </c>
      <c r="AQ206" s="18" t="s">
        <v>17</v>
      </c>
      <c r="AR206" s="18" t="s">
        <v>17</v>
      </c>
      <c r="AS206" s="18" t="s">
        <v>17</v>
      </c>
      <c r="AT206" s="90" t="s">
        <v>149</v>
      </c>
      <c r="AU206" s="90" t="s">
        <v>149</v>
      </c>
      <c r="AV206" s="134" t="s">
        <v>1</v>
      </c>
      <c r="AW206" s="142" t="s">
        <v>93</v>
      </c>
    </row>
    <row r="207" spans="1:50" ht="18.75" customHeight="1" x14ac:dyDescent="0.25">
      <c r="A207" s="404"/>
      <c r="B207" s="210" t="s">
        <v>3</v>
      </c>
      <c r="C207" s="114">
        <v>15.66</v>
      </c>
      <c r="D207" s="3">
        <v>16204.19</v>
      </c>
      <c r="E207" s="21">
        <v>28756.32</v>
      </c>
      <c r="F207" s="1"/>
      <c r="G207" s="3"/>
      <c r="H207" s="21"/>
      <c r="I207" s="1">
        <v>6.88</v>
      </c>
      <c r="J207" s="3">
        <v>8899.2800000000007</v>
      </c>
      <c r="K207" s="115">
        <v>12159.52</v>
      </c>
      <c r="L207" s="107"/>
      <c r="M207" s="3"/>
      <c r="N207" s="21"/>
      <c r="O207" s="101"/>
      <c r="P207" s="3"/>
      <c r="Q207" s="21"/>
      <c r="R207" s="101"/>
      <c r="S207" s="3"/>
      <c r="T207" s="21"/>
      <c r="U207" s="101"/>
      <c r="V207" s="3"/>
      <c r="W207" s="21"/>
      <c r="X207" s="101"/>
      <c r="Y207" s="3"/>
      <c r="Z207" s="21"/>
      <c r="AA207" s="101"/>
      <c r="AB207" s="3"/>
      <c r="AC207" s="21"/>
      <c r="AD207" s="98"/>
      <c r="AE207" s="3"/>
      <c r="AF207" s="21"/>
      <c r="AG207" s="93"/>
      <c r="AH207" s="3"/>
      <c r="AI207" s="93"/>
      <c r="AJ207" s="3"/>
      <c r="AK207" s="21"/>
      <c r="AL207" s="21"/>
      <c r="AM207" s="21"/>
      <c r="AN207" s="21">
        <v>88200.34</v>
      </c>
      <c r="AO207" s="3">
        <v>52547.3</v>
      </c>
      <c r="AP207" s="72">
        <v>2.8736999999999999</v>
      </c>
      <c r="AQ207" s="72">
        <v>1.8802000000000001</v>
      </c>
      <c r="AR207" s="72">
        <v>5.5298999999999996</v>
      </c>
      <c r="AS207" s="72"/>
      <c r="AT207" s="98"/>
      <c r="AU207" s="3"/>
      <c r="AV207" s="137"/>
      <c r="AW207" s="143"/>
    </row>
    <row r="208" spans="1:50" ht="18.75" customHeight="1" x14ac:dyDescent="0.25">
      <c r="A208" s="404"/>
      <c r="B208" s="211" t="s">
        <v>4</v>
      </c>
      <c r="C208" s="116">
        <v>8.5299999999999994</v>
      </c>
      <c r="D208" s="7">
        <v>8826.42</v>
      </c>
      <c r="E208" s="9">
        <v>12653.45</v>
      </c>
      <c r="F208" s="5">
        <v>8.49</v>
      </c>
      <c r="G208" s="7">
        <v>8785.0300000000007</v>
      </c>
      <c r="H208" s="9">
        <v>11588.55</v>
      </c>
      <c r="I208" s="5">
        <v>8.68</v>
      </c>
      <c r="J208" s="7">
        <v>11227.58</v>
      </c>
      <c r="K208" s="117">
        <v>13486.62</v>
      </c>
      <c r="L208" s="108"/>
      <c r="M208" s="7"/>
      <c r="N208" s="9"/>
      <c r="O208" s="102"/>
      <c r="P208" s="7"/>
      <c r="Q208" s="9"/>
      <c r="R208" s="102"/>
      <c r="S208" s="7"/>
      <c r="T208" s="9"/>
      <c r="U208" s="102"/>
      <c r="V208" s="7"/>
      <c r="W208" s="9"/>
      <c r="X208" s="102"/>
      <c r="Y208" s="7"/>
      <c r="Z208" s="9"/>
      <c r="AA208" s="102"/>
      <c r="AB208" s="7"/>
      <c r="AC208" s="9"/>
      <c r="AD208" s="99">
        <v>0.42599999999999999</v>
      </c>
      <c r="AE208" s="7">
        <v>5169.54</v>
      </c>
      <c r="AF208" s="9">
        <v>1938.9</v>
      </c>
      <c r="AG208" s="94"/>
      <c r="AH208" s="7"/>
      <c r="AI208" s="94"/>
      <c r="AJ208" s="7"/>
      <c r="AK208" s="9"/>
      <c r="AL208" s="9"/>
      <c r="AM208" s="9"/>
      <c r="AN208" s="9"/>
      <c r="AO208" s="7">
        <v>50734.95</v>
      </c>
      <c r="AP208" s="72">
        <v>1.9654</v>
      </c>
      <c r="AQ208" s="72">
        <v>1.7009000000000001</v>
      </c>
      <c r="AR208" s="72">
        <v>3.5579000000000001</v>
      </c>
      <c r="AS208" s="72"/>
      <c r="AT208" s="99"/>
      <c r="AU208" s="7"/>
      <c r="AV208" s="138"/>
      <c r="AW208" s="143">
        <v>203</v>
      </c>
    </row>
    <row r="209" spans="1:50" ht="18.75" customHeight="1" x14ac:dyDescent="0.25">
      <c r="A209" s="404"/>
      <c r="B209" s="211" t="s">
        <v>5</v>
      </c>
      <c r="C209" s="118">
        <v>33.53</v>
      </c>
      <c r="D209" s="7">
        <v>34695.17</v>
      </c>
      <c r="E209" s="9">
        <v>37501.269999999997</v>
      </c>
      <c r="F209" s="96">
        <v>7.86</v>
      </c>
      <c r="G209" s="7">
        <v>8133.14</v>
      </c>
      <c r="H209" s="9">
        <v>9843.77</v>
      </c>
      <c r="I209" s="96">
        <v>21.07</v>
      </c>
      <c r="J209" s="105">
        <v>27254.05</v>
      </c>
      <c r="K209" s="117">
        <v>25196.61</v>
      </c>
      <c r="L209" s="108">
        <v>4.84</v>
      </c>
      <c r="M209" s="7">
        <v>5009.3999999999996</v>
      </c>
      <c r="N209" s="9">
        <v>3399.28</v>
      </c>
      <c r="O209" s="102">
        <v>1.84</v>
      </c>
      <c r="P209" s="7">
        <v>1269.5999999999999</v>
      </c>
      <c r="Q209" s="9">
        <v>3858.13</v>
      </c>
      <c r="R209" s="102"/>
      <c r="S209" s="7"/>
      <c r="T209" s="9"/>
      <c r="U209" s="102"/>
      <c r="V209" s="7"/>
      <c r="W209" s="9"/>
      <c r="X209" s="102"/>
      <c r="Y209" s="7"/>
      <c r="Z209" s="9"/>
      <c r="AA209" s="102"/>
      <c r="AB209" s="7"/>
      <c r="AC209" s="9"/>
      <c r="AD209" s="99"/>
      <c r="AE209" s="7"/>
      <c r="AF209" s="9"/>
      <c r="AG209" s="94"/>
      <c r="AH209" s="7"/>
      <c r="AI209" s="94"/>
      <c r="AJ209" s="7"/>
      <c r="AK209" s="9"/>
      <c r="AL209" s="9"/>
      <c r="AM209" s="9">
        <v>1537.35</v>
      </c>
      <c r="AN209" s="9">
        <v>81693</v>
      </c>
      <c r="AO209" s="7">
        <v>53746.17</v>
      </c>
      <c r="AP209" s="72">
        <v>3.7334999999999998</v>
      </c>
      <c r="AQ209" s="72">
        <v>2.6196000000000002</v>
      </c>
      <c r="AR209" s="72">
        <v>4.8038999999999996</v>
      </c>
      <c r="AS209" s="72"/>
      <c r="AT209" s="99">
        <v>1.02</v>
      </c>
      <c r="AU209" s="7">
        <v>5100</v>
      </c>
      <c r="AV209" s="138">
        <v>2542.7600000000002</v>
      </c>
      <c r="AW209" s="143">
        <v>158</v>
      </c>
    </row>
    <row r="210" spans="1:50" ht="18.75" customHeight="1" x14ac:dyDescent="0.25">
      <c r="A210" s="404"/>
      <c r="B210" s="211" t="s">
        <v>6</v>
      </c>
      <c r="C210" s="118">
        <v>27.71</v>
      </c>
      <c r="D210" s="7">
        <v>28672.92</v>
      </c>
      <c r="E210" s="9">
        <v>45297.69</v>
      </c>
      <c r="F210" s="96">
        <v>3.25</v>
      </c>
      <c r="G210" s="7">
        <v>3362.94</v>
      </c>
      <c r="H210" s="9">
        <v>2952.16</v>
      </c>
      <c r="I210" s="96">
        <v>15.92</v>
      </c>
      <c r="J210" s="7">
        <v>20592.52</v>
      </c>
      <c r="K210" s="117">
        <v>20986.23</v>
      </c>
      <c r="L210" s="108">
        <v>7.09</v>
      </c>
      <c r="M210" s="7">
        <v>7338.15</v>
      </c>
      <c r="N210" s="9">
        <v>11603.38</v>
      </c>
      <c r="O210" s="102"/>
      <c r="P210" s="7"/>
      <c r="Q210" s="9"/>
      <c r="R210" s="102"/>
      <c r="S210" s="7"/>
      <c r="T210" s="9"/>
      <c r="U210" s="102"/>
      <c r="V210" s="7"/>
      <c r="W210" s="9"/>
      <c r="X210" s="102"/>
      <c r="Y210" s="7"/>
      <c r="Z210" s="9"/>
      <c r="AA210" s="102"/>
      <c r="AB210" s="7"/>
      <c r="AC210" s="9"/>
      <c r="AD210" s="99"/>
      <c r="AE210" s="7"/>
      <c r="AF210" s="9"/>
      <c r="AG210" s="94"/>
      <c r="AH210" s="7"/>
      <c r="AI210" s="94"/>
      <c r="AJ210" s="7"/>
      <c r="AK210" s="9"/>
      <c r="AL210" s="9"/>
      <c r="AM210" s="9"/>
      <c r="AN210" s="9"/>
      <c r="AO210" s="7">
        <v>38100.129999999997</v>
      </c>
      <c r="AP210" s="72">
        <v>2.4241999999999999</v>
      </c>
      <c r="AQ210" s="72">
        <v>1.6001000000000001</v>
      </c>
      <c r="AR210" s="72">
        <v>3.2995999999999999</v>
      </c>
      <c r="AS210" s="72"/>
      <c r="AT210" s="99">
        <v>1.8</v>
      </c>
      <c r="AU210" s="7">
        <v>9000</v>
      </c>
      <c r="AV210" s="138">
        <v>2952.16</v>
      </c>
      <c r="AW210" s="143"/>
    </row>
    <row r="211" spans="1:50" ht="18.75" customHeight="1" x14ac:dyDescent="0.25">
      <c r="A211" s="404"/>
      <c r="B211" s="211" t="s">
        <v>7</v>
      </c>
      <c r="C211" s="119">
        <v>42.37</v>
      </c>
      <c r="D211" s="7">
        <v>43842.36</v>
      </c>
      <c r="E211" s="9">
        <v>57108.88</v>
      </c>
      <c r="F211" s="91"/>
      <c r="G211" s="7"/>
      <c r="H211" s="9"/>
      <c r="I211" s="96">
        <v>31.82</v>
      </c>
      <c r="J211" s="7">
        <v>41159.17</v>
      </c>
      <c r="K211" s="117">
        <v>37053.339999999997</v>
      </c>
      <c r="L211" s="108">
        <v>9.76</v>
      </c>
      <c r="M211" s="7">
        <v>10101.6</v>
      </c>
      <c r="N211" s="9">
        <v>15169.88</v>
      </c>
      <c r="O211" s="102">
        <v>3.02</v>
      </c>
      <c r="P211" s="7">
        <v>2192.52</v>
      </c>
      <c r="Q211" s="9">
        <v>6447.93</v>
      </c>
      <c r="R211" s="102"/>
      <c r="S211" s="7"/>
      <c r="T211" s="9"/>
      <c r="U211" s="102"/>
      <c r="V211" s="7"/>
      <c r="W211" s="9"/>
      <c r="X211" s="102"/>
      <c r="Y211" s="7"/>
      <c r="Z211" s="9"/>
      <c r="AA211" s="102">
        <v>0.91</v>
      </c>
      <c r="AB211" s="7">
        <v>2092.09</v>
      </c>
      <c r="AC211" s="9">
        <v>3628.71</v>
      </c>
      <c r="AD211" s="99"/>
      <c r="AE211" s="7"/>
      <c r="AF211" s="9"/>
      <c r="AG211" s="94"/>
      <c r="AH211" s="7"/>
      <c r="AI211" s="94"/>
      <c r="AJ211" s="7"/>
      <c r="AK211" s="9"/>
      <c r="AL211" s="9"/>
      <c r="AM211" s="9"/>
      <c r="AN211" s="9"/>
      <c r="AO211" s="7">
        <v>56277.55</v>
      </c>
      <c r="AP211" s="72">
        <v>3.8942000000000001</v>
      </c>
      <c r="AQ211" s="72">
        <v>2.2801999999999998</v>
      </c>
      <c r="AR211" s="72">
        <v>6.83</v>
      </c>
      <c r="AS211" s="72"/>
      <c r="AT211" s="99">
        <v>1.3</v>
      </c>
      <c r="AU211" s="7">
        <v>7540</v>
      </c>
      <c r="AV211" s="138">
        <v>2832.79</v>
      </c>
      <c r="AW211" s="143">
        <v>388</v>
      </c>
    </row>
    <row r="212" spans="1:50" ht="18.75" customHeight="1" x14ac:dyDescent="0.25">
      <c r="A212" s="404"/>
      <c r="B212" s="211" t="s">
        <v>8</v>
      </c>
      <c r="C212" s="119">
        <v>54.05</v>
      </c>
      <c r="D212" s="7">
        <v>55928.24</v>
      </c>
      <c r="E212" s="9">
        <v>67736.490000000005</v>
      </c>
      <c r="F212" s="91">
        <v>7.92</v>
      </c>
      <c r="G212" s="7">
        <v>8195</v>
      </c>
      <c r="H212" s="9">
        <v>6779.25</v>
      </c>
      <c r="I212" s="96">
        <v>20.37</v>
      </c>
      <c r="J212" s="7">
        <v>26348.6</v>
      </c>
      <c r="K212" s="117">
        <v>29416.080000000002</v>
      </c>
      <c r="L212" s="108">
        <v>8.91</v>
      </c>
      <c r="M212" s="7">
        <v>9221.85</v>
      </c>
      <c r="N212" s="9">
        <v>16553.21</v>
      </c>
      <c r="O212" s="102">
        <v>1.8</v>
      </c>
      <c r="P212" s="7">
        <v>1242</v>
      </c>
      <c r="Q212" s="9">
        <v>3399.28</v>
      </c>
      <c r="R212" s="102"/>
      <c r="S212" s="7"/>
      <c r="T212" s="9"/>
      <c r="U212" s="102"/>
      <c r="V212" s="7"/>
      <c r="W212" s="9"/>
      <c r="X212" s="102"/>
      <c r="Y212" s="7"/>
      <c r="Z212" s="9"/>
      <c r="AA212" s="102"/>
      <c r="AB212" s="7"/>
      <c r="AC212" s="9"/>
      <c r="AD212" s="99"/>
      <c r="AE212" s="7"/>
      <c r="AF212" s="9"/>
      <c r="AG212" s="94"/>
      <c r="AH212" s="7"/>
      <c r="AI212" s="94"/>
      <c r="AJ212" s="7"/>
      <c r="AK212" s="9"/>
      <c r="AL212" s="9"/>
      <c r="AM212" s="9">
        <v>599.15</v>
      </c>
      <c r="AN212" s="9"/>
      <c r="AO212" s="7">
        <v>56748.87</v>
      </c>
      <c r="AP212" s="72">
        <v>3.9548000000000001</v>
      </c>
      <c r="AQ212" s="72">
        <v>2.7797000000000001</v>
      </c>
      <c r="AR212" s="72">
        <v>4.8033000000000001</v>
      </c>
      <c r="AS212" s="72"/>
      <c r="AT212" s="99">
        <v>1.5</v>
      </c>
      <c r="AU212" s="7">
        <v>9450</v>
      </c>
      <c r="AV212" s="138">
        <v>2902.71</v>
      </c>
      <c r="AW212" s="143">
        <v>309</v>
      </c>
    </row>
    <row r="213" spans="1:50" ht="18.75" customHeight="1" x14ac:dyDescent="0.25">
      <c r="A213" s="404"/>
      <c r="B213" s="211" t="s">
        <v>9</v>
      </c>
      <c r="C213" s="119"/>
      <c r="D213" s="7"/>
      <c r="E213" s="9"/>
      <c r="F213" s="91">
        <v>2.58</v>
      </c>
      <c r="G213" s="7">
        <v>2669.66</v>
      </c>
      <c r="H213" s="9">
        <v>8767.14</v>
      </c>
      <c r="I213" s="96">
        <v>72.55</v>
      </c>
      <c r="J213" s="7">
        <v>93843.43</v>
      </c>
      <c r="K213" s="117">
        <v>89117.29</v>
      </c>
      <c r="L213" s="108">
        <v>16.88</v>
      </c>
      <c r="M213" s="7">
        <v>17470.8</v>
      </c>
      <c r="N213" s="9">
        <v>25213.52</v>
      </c>
      <c r="O213" s="102">
        <v>2.2200000000000002</v>
      </c>
      <c r="P213" s="7">
        <v>1531.8</v>
      </c>
      <c r="Q213" s="9">
        <v>4316.9799999999996</v>
      </c>
      <c r="R213" s="102"/>
      <c r="S213" s="7"/>
      <c r="T213" s="9"/>
      <c r="U213" s="102"/>
      <c r="V213" s="7"/>
      <c r="W213" s="9"/>
      <c r="X213" s="102"/>
      <c r="Y213" s="7"/>
      <c r="Z213" s="9"/>
      <c r="AA213" s="102"/>
      <c r="AB213" s="7"/>
      <c r="AC213" s="9"/>
      <c r="AD213" s="99"/>
      <c r="AE213" s="7"/>
      <c r="AF213" s="9"/>
      <c r="AG213" s="94"/>
      <c r="AH213" s="7"/>
      <c r="AI213" s="94"/>
      <c r="AJ213" s="7"/>
      <c r="AK213" s="9"/>
      <c r="AL213" s="9"/>
      <c r="AM213" s="9"/>
      <c r="AN213" s="9"/>
      <c r="AO213" s="7">
        <v>72447.41</v>
      </c>
      <c r="AP213" s="72">
        <v>3.7967</v>
      </c>
      <c r="AQ213" s="72">
        <v>3.2947000000000002</v>
      </c>
      <c r="AR213" s="72">
        <v>4.7441000000000004</v>
      </c>
      <c r="AS213" s="72"/>
      <c r="AT213" s="99">
        <v>1.36</v>
      </c>
      <c r="AU213" s="7">
        <v>9384</v>
      </c>
      <c r="AV213" s="138">
        <v>3180.9</v>
      </c>
      <c r="AW213" s="143">
        <v>393</v>
      </c>
    </row>
    <row r="214" spans="1:50" ht="18.75" customHeight="1" x14ac:dyDescent="0.25">
      <c r="A214" s="404"/>
      <c r="B214" s="211" t="s">
        <v>10</v>
      </c>
      <c r="C214" s="119">
        <v>9.61</v>
      </c>
      <c r="D214" s="7">
        <v>9943.9500000000007</v>
      </c>
      <c r="E214" s="9">
        <v>10501.8</v>
      </c>
      <c r="F214" s="91"/>
      <c r="G214" s="7"/>
      <c r="H214" s="9"/>
      <c r="I214" s="96">
        <v>35.97</v>
      </c>
      <c r="J214" s="7">
        <v>46527.199999999997</v>
      </c>
      <c r="K214" s="117">
        <v>48188.45</v>
      </c>
      <c r="L214" s="108">
        <v>10.37</v>
      </c>
      <c r="M214" s="7">
        <v>10316</v>
      </c>
      <c r="N214" s="9">
        <v>21937.17</v>
      </c>
      <c r="O214" s="102">
        <v>1</v>
      </c>
      <c r="P214" s="7">
        <v>690</v>
      </c>
      <c r="Q214" s="9">
        <v>3858.13</v>
      </c>
      <c r="R214" s="102"/>
      <c r="S214" s="7"/>
      <c r="T214" s="9"/>
      <c r="U214" s="102"/>
      <c r="V214" s="7"/>
      <c r="W214" s="9"/>
      <c r="X214" s="102"/>
      <c r="Y214" s="7"/>
      <c r="Z214" s="9"/>
      <c r="AA214" s="102"/>
      <c r="AB214" s="7"/>
      <c r="AC214" s="9"/>
      <c r="AD214" s="99"/>
      <c r="AE214" s="7"/>
      <c r="AF214" s="9"/>
      <c r="AG214" s="94"/>
      <c r="AH214" s="7"/>
      <c r="AI214" s="94"/>
      <c r="AJ214" s="7"/>
      <c r="AK214" s="9"/>
      <c r="AL214" s="9"/>
      <c r="AM214" s="9"/>
      <c r="AN214" s="9">
        <v>91857.5</v>
      </c>
      <c r="AO214" s="7">
        <v>68364.63</v>
      </c>
      <c r="AP214" s="72">
        <v>2.5249000000000001</v>
      </c>
      <c r="AQ214" s="72">
        <v>2.4647999999999999</v>
      </c>
      <c r="AR214" s="72">
        <v>14.6624</v>
      </c>
      <c r="AS214" s="72"/>
      <c r="AT214" s="99">
        <v>1.24</v>
      </c>
      <c r="AU214" s="7">
        <v>7812</v>
      </c>
      <c r="AV214" s="138">
        <v>3181.59</v>
      </c>
      <c r="AW214" s="143">
        <v>360</v>
      </c>
    </row>
    <row r="215" spans="1:50" ht="18.75" customHeight="1" x14ac:dyDescent="0.25">
      <c r="A215" s="404"/>
      <c r="B215" s="211" t="s">
        <v>11</v>
      </c>
      <c r="C215" s="119"/>
      <c r="D215" s="7"/>
      <c r="E215" s="9"/>
      <c r="F215" s="91"/>
      <c r="G215" s="7"/>
      <c r="H215" s="9"/>
      <c r="I215" s="96">
        <v>38.1</v>
      </c>
      <c r="J215" s="7">
        <v>49282.35</v>
      </c>
      <c r="K215" s="117">
        <v>52742.22</v>
      </c>
      <c r="L215" s="108">
        <v>5.87</v>
      </c>
      <c r="M215" s="7">
        <v>6075.45</v>
      </c>
      <c r="N215" s="9">
        <v>12581.69</v>
      </c>
      <c r="O215" s="102"/>
      <c r="P215" s="7"/>
      <c r="Q215" s="9"/>
      <c r="R215" s="102"/>
      <c r="S215" s="7"/>
      <c r="T215" s="9"/>
      <c r="U215" s="102"/>
      <c r="V215" s="7"/>
      <c r="W215" s="9"/>
      <c r="X215" s="102"/>
      <c r="Y215" s="7"/>
      <c r="Z215" s="9"/>
      <c r="AA215" s="102"/>
      <c r="AB215" s="7"/>
      <c r="AC215" s="9"/>
      <c r="AD215" s="99">
        <v>1.571</v>
      </c>
      <c r="AE215" s="7">
        <v>18206.3</v>
      </c>
      <c r="AF215" s="9">
        <v>2221.8000000000002</v>
      </c>
      <c r="AG215" s="94"/>
      <c r="AH215" s="7"/>
      <c r="AI215" s="94"/>
      <c r="AJ215" s="7"/>
      <c r="AK215" s="9"/>
      <c r="AL215" s="9"/>
      <c r="AM215" s="9"/>
      <c r="AN215" s="9"/>
      <c r="AO215" s="7">
        <v>76004.02</v>
      </c>
      <c r="AP215" s="72">
        <v>2.1981000000000002</v>
      </c>
      <c r="AQ215" s="72">
        <v>3.1533000000000002</v>
      </c>
      <c r="AR215" s="72">
        <v>5.2797999999999998</v>
      </c>
      <c r="AS215" s="72"/>
      <c r="AT215" s="99">
        <v>1.6</v>
      </c>
      <c r="AU215" s="7">
        <v>8480</v>
      </c>
      <c r="AV215" s="138">
        <v>2722.74</v>
      </c>
      <c r="AW215" s="143">
        <v>223</v>
      </c>
    </row>
    <row r="216" spans="1:50" ht="18.75" customHeight="1" x14ac:dyDescent="0.25">
      <c r="A216" s="404"/>
      <c r="B216" s="211" t="s">
        <v>12</v>
      </c>
      <c r="C216" s="119"/>
      <c r="D216" s="7"/>
      <c r="E216" s="9"/>
      <c r="F216" s="91">
        <v>2.44</v>
      </c>
      <c r="G216" s="7">
        <v>2524.79</v>
      </c>
      <c r="H216" s="9">
        <v>4546.41</v>
      </c>
      <c r="I216" s="96">
        <v>35.43</v>
      </c>
      <c r="J216" s="7">
        <v>45282.71</v>
      </c>
      <c r="K216" s="117">
        <v>46023.8</v>
      </c>
      <c r="L216" s="108">
        <v>12.47</v>
      </c>
      <c r="M216" s="7">
        <v>12906.45</v>
      </c>
      <c r="N216" s="9">
        <v>24103.19</v>
      </c>
      <c r="O216" s="102">
        <v>1.92</v>
      </c>
      <c r="P216" s="7">
        <v>1324.8</v>
      </c>
      <c r="Q216" s="9">
        <v>3858.13</v>
      </c>
      <c r="R216" s="102"/>
      <c r="S216" s="7"/>
      <c r="T216" s="9"/>
      <c r="U216" s="102"/>
      <c r="V216" s="7"/>
      <c r="W216" s="9"/>
      <c r="X216" s="102"/>
      <c r="Y216" s="7"/>
      <c r="Z216" s="9"/>
      <c r="AA216" s="102"/>
      <c r="AB216" s="7"/>
      <c r="AC216" s="9"/>
      <c r="AD216" s="99">
        <v>0.90500000000000003</v>
      </c>
      <c r="AE216" s="7">
        <v>11488.83</v>
      </c>
      <c r="AF216" s="9">
        <v>1867.6</v>
      </c>
      <c r="AG216" s="94"/>
      <c r="AH216" s="7"/>
      <c r="AI216" s="94"/>
      <c r="AJ216" s="7"/>
      <c r="AK216" s="9"/>
      <c r="AL216" s="9"/>
      <c r="AM216" s="9">
        <v>4369.1499999999996</v>
      </c>
      <c r="AN216" s="9">
        <v>147459.87</v>
      </c>
      <c r="AO216" s="7">
        <v>34736.21</v>
      </c>
      <c r="AP216" s="72">
        <v>1.2439</v>
      </c>
      <c r="AQ216" s="72">
        <v>2.1922000000000001</v>
      </c>
      <c r="AR216" s="72">
        <v>2.81</v>
      </c>
      <c r="AS216" s="72"/>
      <c r="AT216" s="99"/>
      <c r="AU216" s="7"/>
      <c r="AV216" s="138"/>
      <c r="AW216" s="143">
        <v>190</v>
      </c>
    </row>
    <row r="217" spans="1:50" ht="18.75" customHeight="1" x14ac:dyDescent="0.25">
      <c r="A217" s="404"/>
      <c r="B217" s="211" t="s">
        <v>13</v>
      </c>
      <c r="C217" s="119"/>
      <c r="D217" s="7"/>
      <c r="E217" s="9"/>
      <c r="F217" s="91"/>
      <c r="G217" s="7"/>
      <c r="H217" s="9"/>
      <c r="I217" s="96">
        <v>27.9</v>
      </c>
      <c r="J217" s="7">
        <v>36088.65</v>
      </c>
      <c r="K217" s="117">
        <v>38318</v>
      </c>
      <c r="L217" s="108">
        <v>4.8600000000000003</v>
      </c>
      <c r="M217" s="7">
        <v>5030.1000000000004</v>
      </c>
      <c r="N217" s="9">
        <v>12143.31</v>
      </c>
      <c r="O217" s="102"/>
      <c r="P217" s="7"/>
      <c r="Q217" s="9"/>
      <c r="R217" s="102"/>
      <c r="S217" s="7"/>
      <c r="T217" s="9"/>
      <c r="U217" s="102"/>
      <c r="V217" s="7"/>
      <c r="W217" s="9"/>
      <c r="X217" s="102"/>
      <c r="Y217" s="7"/>
      <c r="Z217" s="9"/>
      <c r="AA217" s="102">
        <v>0.74</v>
      </c>
      <c r="AB217" s="7">
        <v>1701.26</v>
      </c>
      <c r="AC217" s="9">
        <v>3907.58</v>
      </c>
      <c r="AD217" s="99"/>
      <c r="AE217" s="7"/>
      <c r="AF217" s="9"/>
      <c r="AG217" s="94"/>
      <c r="AH217" s="7"/>
      <c r="AI217" s="94"/>
      <c r="AJ217" s="7"/>
      <c r="AK217" s="9"/>
      <c r="AL217" s="9"/>
      <c r="AM217" s="9"/>
      <c r="AN217" s="145"/>
      <c r="AO217" s="7">
        <v>29969.919999999998</v>
      </c>
      <c r="AP217" s="72">
        <v>1.1577999999999999</v>
      </c>
      <c r="AQ217" s="72">
        <v>2.3940000000000001</v>
      </c>
      <c r="AR217" s="72">
        <v>4.6269</v>
      </c>
      <c r="AS217" s="72"/>
      <c r="AT217" s="99">
        <v>1.1599999999999999</v>
      </c>
      <c r="AU217" s="7">
        <v>6148</v>
      </c>
      <c r="AV217" s="138">
        <v>4236.71</v>
      </c>
      <c r="AW217" s="143"/>
    </row>
    <row r="218" spans="1:50" ht="18.75" customHeight="1" thickBot="1" x14ac:dyDescent="0.3">
      <c r="A218" s="404"/>
      <c r="B218" s="212" t="s">
        <v>14</v>
      </c>
      <c r="C218" s="120"/>
      <c r="D218" s="88"/>
      <c r="E218" s="89"/>
      <c r="F218" s="92"/>
      <c r="G218" s="88"/>
      <c r="H218" s="89"/>
      <c r="I218" s="97">
        <v>17.48</v>
      </c>
      <c r="J218" s="88">
        <v>22610.38</v>
      </c>
      <c r="K218" s="121">
        <v>20901.71</v>
      </c>
      <c r="L218" s="109">
        <v>1.5</v>
      </c>
      <c r="M218" s="88">
        <v>1552.5</v>
      </c>
      <c r="N218" s="89">
        <v>4705.91</v>
      </c>
      <c r="O218" s="103"/>
      <c r="P218" s="88"/>
      <c r="Q218" s="89"/>
      <c r="R218" s="103"/>
      <c r="S218" s="88"/>
      <c r="T218" s="89"/>
      <c r="U218" s="103"/>
      <c r="V218" s="88"/>
      <c r="W218" s="89"/>
      <c r="X218" s="103"/>
      <c r="Y218" s="88"/>
      <c r="Z218" s="89"/>
      <c r="AA218" s="103"/>
      <c r="AB218" s="88"/>
      <c r="AC218" s="89"/>
      <c r="AD218" s="100"/>
      <c r="AE218" s="88"/>
      <c r="AF218" s="89"/>
      <c r="AG218" s="95"/>
      <c r="AH218" s="62"/>
      <c r="AI218" s="95"/>
      <c r="AJ218" s="88"/>
      <c r="AK218" s="89"/>
      <c r="AL218" s="65"/>
      <c r="AM218" s="65">
        <v>3747</v>
      </c>
      <c r="AN218" s="65">
        <v>123724</v>
      </c>
      <c r="AO218" s="62">
        <v>30126.95</v>
      </c>
      <c r="AP218" s="73">
        <v>1.1109</v>
      </c>
      <c r="AQ218" s="73">
        <v>2.7608999999999999</v>
      </c>
      <c r="AR218" s="73">
        <v>3.5644</v>
      </c>
      <c r="AS218" s="73"/>
      <c r="AT218" s="100"/>
      <c r="AU218" s="88"/>
      <c r="AV218" s="139"/>
      <c r="AW218" s="144">
        <v>184</v>
      </c>
    </row>
    <row r="219" spans="1:50" ht="18.75" customHeight="1" thickBot="1" x14ac:dyDescent="0.3">
      <c r="A219" s="404"/>
      <c r="B219" s="213" t="s">
        <v>15</v>
      </c>
      <c r="C219" s="122">
        <f t="shared" ref="C219:V219" si="45">SUM(C207:C218)</f>
        <v>191.46000000000004</v>
      </c>
      <c r="D219" s="124">
        <f t="shared" si="45"/>
        <v>198113.25</v>
      </c>
      <c r="E219" s="124">
        <f t="shared" si="45"/>
        <v>259555.90000000002</v>
      </c>
      <c r="F219" s="123">
        <f t="shared" si="45"/>
        <v>32.54</v>
      </c>
      <c r="G219" s="124">
        <f t="shared" si="45"/>
        <v>33670.559999999998</v>
      </c>
      <c r="H219" s="124">
        <f t="shared" si="45"/>
        <v>44477.279999999999</v>
      </c>
      <c r="I219" s="123">
        <f t="shared" si="45"/>
        <v>332.17</v>
      </c>
      <c r="J219" s="124">
        <f t="shared" si="45"/>
        <v>429115.92000000004</v>
      </c>
      <c r="K219" s="157">
        <f t="shared" si="45"/>
        <v>433589.87</v>
      </c>
      <c r="L219" s="158">
        <f t="shared" si="45"/>
        <v>82.55</v>
      </c>
      <c r="M219" s="67">
        <f t="shared" si="45"/>
        <v>85022.3</v>
      </c>
      <c r="N219" s="67">
        <f t="shared" si="45"/>
        <v>147410.54</v>
      </c>
      <c r="O219" s="159">
        <f t="shared" si="45"/>
        <v>11.8</v>
      </c>
      <c r="P219" s="67">
        <f t="shared" si="45"/>
        <v>8250.7199999999993</v>
      </c>
      <c r="Q219" s="67">
        <f t="shared" si="45"/>
        <v>25738.58</v>
      </c>
      <c r="R219" s="69">
        <f t="shared" si="45"/>
        <v>0</v>
      </c>
      <c r="S219" s="67">
        <f t="shared" si="45"/>
        <v>0</v>
      </c>
      <c r="T219" s="67">
        <f t="shared" si="45"/>
        <v>0</v>
      </c>
      <c r="U219" s="69">
        <f t="shared" si="45"/>
        <v>0</v>
      </c>
      <c r="V219" s="67">
        <f t="shared" si="45"/>
        <v>0</v>
      </c>
      <c r="W219" s="67">
        <f>SUM(W207:W218)</f>
        <v>0</v>
      </c>
      <c r="X219" s="69">
        <f t="shared" ref="X219:AD219" si="46">SUM(X207:X218)</f>
        <v>0</v>
      </c>
      <c r="Y219" s="67">
        <f t="shared" si="46"/>
        <v>0</v>
      </c>
      <c r="Z219" s="67">
        <f t="shared" si="46"/>
        <v>0</v>
      </c>
      <c r="AA219" s="69">
        <f t="shared" si="46"/>
        <v>1.65</v>
      </c>
      <c r="AB219" s="67">
        <f t="shared" si="46"/>
        <v>3793.3500000000004</v>
      </c>
      <c r="AC219" s="67">
        <f t="shared" si="46"/>
        <v>7536.29</v>
      </c>
      <c r="AD219" s="68">
        <f t="shared" si="46"/>
        <v>2.9020000000000001</v>
      </c>
      <c r="AE219" s="67">
        <f>SUM(AE207:AE218)</f>
        <v>34864.67</v>
      </c>
      <c r="AF219" s="67">
        <f>SUM(AF207:AF218)</f>
        <v>6028.3000000000011</v>
      </c>
      <c r="AG219" s="68">
        <f t="shared" ref="AG219:AK219" si="47">SUM(AG207:AG218)</f>
        <v>0</v>
      </c>
      <c r="AH219" s="67">
        <f t="shared" si="47"/>
        <v>0</v>
      </c>
      <c r="AI219" s="68">
        <f t="shared" si="47"/>
        <v>0</v>
      </c>
      <c r="AJ219" s="173">
        <f t="shared" si="47"/>
        <v>0</v>
      </c>
      <c r="AK219" s="174">
        <f t="shared" si="47"/>
        <v>0</v>
      </c>
      <c r="AL219" s="71"/>
      <c r="AM219" s="71">
        <f t="shared" ref="AM219:AU219" si="48">SUM(AM207:AM218)</f>
        <v>10252.65</v>
      </c>
      <c r="AN219" s="71">
        <f t="shared" si="48"/>
        <v>532934.71</v>
      </c>
      <c r="AO219" s="67">
        <f t="shared" si="48"/>
        <v>619804.11</v>
      </c>
      <c r="AP219" s="74">
        <f t="shared" si="48"/>
        <v>30.878100000000003</v>
      </c>
      <c r="AQ219" s="74">
        <f>SUM(AQ207:AQ218)</f>
        <v>29.120600000000003</v>
      </c>
      <c r="AR219" s="74">
        <f t="shared" si="48"/>
        <v>64.512200000000007</v>
      </c>
      <c r="AS219" s="74">
        <f t="shared" si="48"/>
        <v>0</v>
      </c>
      <c r="AT219" s="68">
        <f t="shared" si="48"/>
        <v>10.98</v>
      </c>
      <c r="AU219" s="67">
        <f t="shared" si="48"/>
        <v>62914</v>
      </c>
      <c r="AV219" s="140">
        <f>SUM(AV207:AV218)</f>
        <v>24552.359999999993</v>
      </c>
      <c r="AW219" s="136">
        <f t="shared" ref="AW219" si="49">SUM(AW207:AW218)</f>
        <v>2408</v>
      </c>
    </row>
    <row r="220" spans="1:50" ht="18.75" customHeight="1" thickBot="1" x14ac:dyDescent="0.3">
      <c r="A220" s="404"/>
      <c r="B220" s="200"/>
      <c r="C220" s="156"/>
      <c r="D220" s="380">
        <f>SUM(E219+D219)</f>
        <v>457669.15</v>
      </c>
      <c r="E220" s="381"/>
      <c r="F220" s="156"/>
      <c r="G220" s="380">
        <f>SUM(H219+G219)</f>
        <v>78147.839999999997</v>
      </c>
      <c r="H220" s="381"/>
      <c r="I220" s="156"/>
      <c r="J220" s="420">
        <f>SUM(K219+J219)</f>
        <v>862705.79</v>
      </c>
      <c r="K220" s="448"/>
      <c r="L220" s="160"/>
      <c r="M220" s="380">
        <f>SUM(N219+M219)</f>
        <v>232432.84000000003</v>
      </c>
      <c r="N220" s="381"/>
      <c r="O220" s="160"/>
      <c r="P220" s="380">
        <f>SUM(Q219+P219)</f>
        <v>33989.300000000003</v>
      </c>
      <c r="Q220" s="381"/>
      <c r="R220" s="160"/>
      <c r="S220" s="380">
        <f>SUM(T219+S219)</f>
        <v>0</v>
      </c>
      <c r="T220" s="381"/>
      <c r="U220" s="160"/>
      <c r="V220" s="380">
        <f>SUM(W219+V219)</f>
        <v>0</v>
      </c>
      <c r="W220" s="381"/>
      <c r="X220" s="160"/>
      <c r="Y220" s="380">
        <f>SUM(Z219+Y219)</f>
        <v>0</v>
      </c>
      <c r="Z220" s="381"/>
      <c r="AA220" s="160"/>
      <c r="AB220" s="380">
        <f>SUM(AC219+AB219)</f>
        <v>11329.64</v>
      </c>
      <c r="AC220" s="381"/>
      <c r="AD220" s="162"/>
      <c r="AE220" s="380">
        <f>SUM(AF219+AE219)</f>
        <v>40892.97</v>
      </c>
      <c r="AF220" s="381"/>
      <c r="AG220" s="161"/>
      <c r="AH220" s="124"/>
      <c r="AI220" s="169"/>
      <c r="AJ220" s="171"/>
      <c r="AK220" s="172"/>
      <c r="AL220" s="170"/>
      <c r="AM220" s="127"/>
      <c r="AN220" s="127"/>
      <c r="AO220" s="124"/>
      <c r="AP220" s="128"/>
      <c r="AQ220" s="128"/>
      <c r="AR220" s="129"/>
      <c r="AS220" s="130"/>
      <c r="AT220" s="126"/>
      <c r="AU220" s="124"/>
      <c r="AV220" s="125"/>
      <c r="AW220" s="148"/>
    </row>
    <row r="221" spans="1:50" ht="18.75" customHeight="1" thickBot="1" x14ac:dyDescent="0.3">
      <c r="A221" s="411"/>
      <c r="B221" s="192"/>
      <c r="C221" s="182"/>
      <c r="D221" s="193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  <c r="AK221" s="177"/>
      <c r="AL221" s="154"/>
      <c r="AM221" s="154"/>
      <c r="AN221" s="154"/>
      <c r="AO221" s="151"/>
      <c r="AP221" s="155"/>
      <c r="AQ221" s="155"/>
      <c r="AR221" s="155"/>
      <c r="AS221" s="155"/>
      <c r="AT221" s="152"/>
      <c r="AU221" s="151"/>
      <c r="AV221" s="151"/>
      <c r="AW221" s="133"/>
    </row>
    <row r="222" spans="1:50" ht="18.75" customHeight="1" x14ac:dyDescent="0.35">
      <c r="A222" s="412"/>
      <c r="B222" s="358" t="s">
        <v>212</v>
      </c>
      <c r="C222" s="356"/>
      <c r="D222" s="356"/>
      <c r="E222" s="356"/>
      <c r="F222" s="357"/>
      <c r="G222" s="177"/>
      <c r="H222" s="358" t="s">
        <v>228</v>
      </c>
      <c r="I222" s="356"/>
      <c r="J222" s="356"/>
      <c r="K222" s="356"/>
      <c r="L222" s="359"/>
      <c r="M222" s="236"/>
      <c r="N222" s="237"/>
      <c r="O222" s="177"/>
      <c r="P222" s="360" t="s">
        <v>231</v>
      </c>
      <c r="Q222" s="361"/>
      <c r="R222" s="362"/>
      <c r="S222" s="177"/>
      <c r="T222" s="363" t="s">
        <v>238</v>
      </c>
      <c r="U222" s="364"/>
      <c r="V222" s="365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54"/>
      <c r="AM222" s="154"/>
      <c r="AN222" s="154"/>
      <c r="AO222" s="151"/>
      <c r="AP222" s="155"/>
      <c r="AQ222" s="155"/>
      <c r="AR222" s="155"/>
      <c r="AS222" s="155"/>
      <c r="AT222" s="152"/>
      <c r="AU222" s="151"/>
      <c r="AV222" s="151"/>
      <c r="AW222" s="133"/>
    </row>
    <row r="223" spans="1:50" ht="18.75" customHeight="1" thickBot="1" x14ac:dyDescent="0.3">
      <c r="A223" s="412"/>
      <c r="B223" s="217" t="s">
        <v>219</v>
      </c>
      <c r="C223" s="214"/>
      <c r="D223" s="214"/>
      <c r="E223" s="214"/>
      <c r="F223" s="218"/>
      <c r="G223" s="177"/>
      <c r="H223" s="217" t="s">
        <v>219</v>
      </c>
      <c r="I223" s="223"/>
      <c r="J223" s="223"/>
      <c r="K223" s="223"/>
      <c r="L223" s="223"/>
      <c r="M223" s="255"/>
      <c r="N223" s="256"/>
      <c r="O223" s="177"/>
      <c r="P223" s="366" t="s">
        <v>219</v>
      </c>
      <c r="Q223" s="367"/>
      <c r="R223" s="368"/>
      <c r="S223" s="267"/>
      <c r="T223" s="86" t="s">
        <v>239</v>
      </c>
      <c r="U223" s="20" t="s">
        <v>240</v>
      </c>
      <c r="V223" s="14" t="s">
        <v>133</v>
      </c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54"/>
      <c r="AM223" s="154"/>
      <c r="AN223" s="154"/>
      <c r="AO223" s="151"/>
      <c r="AP223" s="155"/>
      <c r="AQ223" s="155"/>
      <c r="AR223" s="155"/>
      <c r="AS223" s="155"/>
      <c r="AT223" s="152"/>
      <c r="AU223" s="151"/>
      <c r="AV223" s="151"/>
      <c r="AW223" s="133"/>
      <c r="AX223" s="133"/>
    </row>
    <row r="224" spans="1:50" ht="18.75" customHeight="1" thickBot="1" x14ac:dyDescent="0.3">
      <c r="A224" s="412"/>
      <c r="B224" s="219" t="s">
        <v>0</v>
      </c>
      <c r="C224" s="220" t="s">
        <v>213</v>
      </c>
      <c r="D224" s="220" t="s">
        <v>214</v>
      </c>
      <c r="E224" s="220" t="s">
        <v>170</v>
      </c>
      <c r="F224" s="221" t="s">
        <v>215</v>
      </c>
      <c r="G224" s="177"/>
      <c r="H224" s="244" t="s">
        <v>0</v>
      </c>
      <c r="I224" s="246" t="s">
        <v>224</v>
      </c>
      <c r="J224" s="259" t="s">
        <v>225</v>
      </c>
      <c r="K224" s="246" t="s">
        <v>226</v>
      </c>
      <c r="L224" s="247" t="s">
        <v>229</v>
      </c>
      <c r="M224" s="262" t="s">
        <v>227</v>
      </c>
      <c r="N224" s="247" t="s">
        <v>225</v>
      </c>
      <c r="O224" s="177"/>
      <c r="P224" s="277" t="s">
        <v>0</v>
      </c>
      <c r="Q224" s="273" t="s">
        <v>224</v>
      </c>
      <c r="R224" s="247" t="s">
        <v>225</v>
      </c>
      <c r="S224" s="177"/>
      <c r="T224" s="290" t="s">
        <v>151</v>
      </c>
      <c r="U224" s="291" t="s">
        <v>151</v>
      </c>
      <c r="V224" s="292" t="s">
        <v>1</v>
      </c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54"/>
      <c r="AM224" s="154"/>
      <c r="AN224" s="154"/>
      <c r="AO224" s="151"/>
      <c r="AP224" s="155"/>
      <c r="AQ224" s="155"/>
      <c r="AR224" s="155"/>
      <c r="AS224" s="155"/>
      <c r="AT224" s="152"/>
      <c r="AU224" s="151"/>
      <c r="AV224" s="151"/>
      <c r="AW224" s="133"/>
      <c r="AX224" s="133"/>
    </row>
    <row r="225" spans="1:50" ht="18.75" customHeight="1" x14ac:dyDescent="0.25">
      <c r="A225" s="412"/>
      <c r="B225" s="222"/>
      <c r="C225" s="223"/>
      <c r="D225" s="224" t="s">
        <v>2</v>
      </c>
      <c r="E225" s="224" t="s">
        <v>1</v>
      </c>
      <c r="F225" s="225"/>
      <c r="G225" s="177"/>
      <c r="H225" s="245"/>
      <c r="I225" s="369" t="s">
        <v>230</v>
      </c>
      <c r="J225" s="370"/>
      <c r="K225" s="371" t="s">
        <v>230</v>
      </c>
      <c r="L225" s="370"/>
      <c r="M225" s="372" t="s">
        <v>230</v>
      </c>
      <c r="N225" s="370"/>
      <c r="O225" s="177"/>
      <c r="P225" s="278"/>
      <c r="Q225" s="373" t="s">
        <v>232</v>
      </c>
      <c r="R225" s="374"/>
      <c r="S225" s="177"/>
      <c r="T225" s="101"/>
      <c r="U225" s="3"/>
      <c r="V225" s="21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54"/>
      <c r="AM225" s="154"/>
      <c r="AN225" s="154"/>
      <c r="AO225" s="151"/>
      <c r="AP225" s="155"/>
      <c r="AQ225" s="155"/>
      <c r="AR225" s="155"/>
      <c r="AS225" s="155"/>
      <c r="AT225" s="152"/>
      <c r="AU225" s="151"/>
      <c r="AV225" s="151"/>
      <c r="AW225" s="133"/>
      <c r="AX225" s="133"/>
    </row>
    <row r="226" spans="1:50" ht="18.75" customHeight="1" x14ac:dyDescent="0.25">
      <c r="A226" s="412"/>
      <c r="B226" s="215" t="s">
        <v>3</v>
      </c>
      <c r="C226" s="214">
        <v>36.67</v>
      </c>
      <c r="D226" s="226">
        <v>37944.28</v>
      </c>
      <c r="E226" s="226">
        <v>99613.5</v>
      </c>
      <c r="F226" s="218"/>
      <c r="G226" s="177"/>
      <c r="H226" s="245" t="s">
        <v>3</v>
      </c>
      <c r="I226" s="248"/>
      <c r="J226" s="260"/>
      <c r="K226" s="253"/>
      <c r="L226" s="238"/>
      <c r="M226" s="251"/>
      <c r="N226" s="238"/>
      <c r="O226" s="177"/>
      <c r="P226" s="278" t="s">
        <v>3</v>
      </c>
      <c r="Q226" s="274"/>
      <c r="R226" s="268"/>
      <c r="S226" s="177"/>
      <c r="T226" s="102"/>
      <c r="U226" s="7"/>
      <c r="V226" s="9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54"/>
      <c r="AM226" s="154"/>
      <c r="AN226" s="154"/>
      <c r="AO226" s="151"/>
      <c r="AP226" s="155"/>
      <c r="AQ226" s="155"/>
      <c r="AR226" s="155"/>
      <c r="AS226" s="155"/>
      <c r="AT226" s="152"/>
      <c r="AU226" s="151"/>
      <c r="AV226" s="151"/>
      <c r="AW226" s="133"/>
      <c r="AX226" s="133"/>
    </row>
    <row r="227" spans="1:50" ht="18.75" customHeight="1" x14ac:dyDescent="0.25">
      <c r="A227" s="412"/>
      <c r="B227" s="215" t="s">
        <v>4</v>
      </c>
      <c r="C227" s="214">
        <v>32.99</v>
      </c>
      <c r="D227" s="226">
        <v>34136.400000000001</v>
      </c>
      <c r="E227" s="226">
        <v>101833.4</v>
      </c>
      <c r="F227" s="218"/>
      <c r="G227" s="177"/>
      <c r="H227" s="245" t="s">
        <v>4</v>
      </c>
      <c r="I227" s="248"/>
      <c r="J227" s="260"/>
      <c r="K227" s="253"/>
      <c r="L227" s="238"/>
      <c r="M227" s="251"/>
      <c r="N227" s="238"/>
      <c r="O227" s="177"/>
      <c r="P227" s="278" t="s">
        <v>4</v>
      </c>
      <c r="Q227" s="274"/>
      <c r="R227" s="268"/>
      <c r="S227" s="177"/>
      <c r="T227" s="102"/>
      <c r="U227" s="7"/>
      <c r="V227" s="9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54"/>
      <c r="AM227" s="154"/>
      <c r="AN227" s="154"/>
      <c r="AO227" s="151"/>
      <c r="AP227" s="155"/>
      <c r="AQ227" s="155"/>
      <c r="AR227" s="155"/>
      <c r="AS227" s="155"/>
      <c r="AT227" s="152"/>
      <c r="AU227" s="151"/>
      <c r="AV227" s="151"/>
      <c r="AW227" s="133"/>
      <c r="AX227" s="133"/>
    </row>
    <row r="228" spans="1:50" ht="18.75" customHeight="1" x14ac:dyDescent="0.25">
      <c r="A228" s="412"/>
      <c r="B228" s="215" t="s">
        <v>5</v>
      </c>
      <c r="C228" s="214">
        <v>45.58</v>
      </c>
      <c r="D228" s="226">
        <v>47163.4</v>
      </c>
      <c r="E228" s="226">
        <v>122863</v>
      </c>
      <c r="F228" s="218"/>
      <c r="G228" s="177"/>
      <c r="H228" s="245" t="s">
        <v>5</v>
      </c>
      <c r="I228" s="248"/>
      <c r="J228" s="260"/>
      <c r="K228" s="253"/>
      <c r="L228" s="238"/>
      <c r="M228" s="251"/>
      <c r="N228" s="238"/>
      <c r="O228" s="177"/>
      <c r="P228" s="278" t="s">
        <v>5</v>
      </c>
      <c r="Q228" s="274"/>
      <c r="R228" s="268"/>
      <c r="S228" s="177"/>
      <c r="T228" s="102"/>
      <c r="U228" s="7"/>
      <c r="V228" s="9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54"/>
      <c r="AM228" s="154"/>
      <c r="AN228" s="154"/>
      <c r="AO228" s="151"/>
      <c r="AP228" s="155"/>
      <c r="AQ228" s="155"/>
      <c r="AR228" s="155"/>
      <c r="AS228" s="155"/>
      <c r="AT228" s="152"/>
      <c r="AU228" s="151"/>
      <c r="AV228" s="151"/>
      <c r="AW228" s="133"/>
      <c r="AX228" s="133"/>
    </row>
    <row r="229" spans="1:50" ht="18.75" customHeight="1" x14ac:dyDescent="0.25">
      <c r="A229" s="412"/>
      <c r="B229" s="215" t="s">
        <v>6</v>
      </c>
      <c r="C229" s="214">
        <v>39.14</v>
      </c>
      <c r="D229" s="226">
        <v>40500.11</v>
      </c>
      <c r="E229" s="226">
        <v>95863.7</v>
      </c>
      <c r="F229" s="218"/>
      <c r="G229" s="177"/>
      <c r="H229" s="245" t="s">
        <v>6</v>
      </c>
      <c r="I229" s="248"/>
      <c r="J229" s="260"/>
      <c r="K229" s="253"/>
      <c r="L229" s="238"/>
      <c r="M229" s="251"/>
      <c r="N229" s="238"/>
      <c r="O229" s="177"/>
      <c r="P229" s="278" t="s">
        <v>6</v>
      </c>
      <c r="Q229" s="274"/>
      <c r="R229" s="268"/>
      <c r="S229" s="177"/>
      <c r="T229" s="102"/>
      <c r="U229" s="7"/>
      <c r="V229" s="9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54"/>
      <c r="AM229" s="154"/>
      <c r="AN229" s="154"/>
      <c r="AO229" s="151"/>
      <c r="AP229" s="155"/>
      <c r="AQ229" s="155"/>
      <c r="AR229" s="155"/>
      <c r="AS229" s="155"/>
      <c r="AT229" s="152"/>
      <c r="AU229" s="151"/>
      <c r="AV229" s="151"/>
      <c r="AW229" s="133"/>
      <c r="AX229" s="133"/>
    </row>
    <row r="230" spans="1:50" ht="18.75" customHeight="1" x14ac:dyDescent="0.25">
      <c r="A230" s="412"/>
      <c r="B230" s="215" t="s">
        <v>7</v>
      </c>
      <c r="C230" s="214">
        <v>49.97</v>
      </c>
      <c r="D230" s="226" t="s">
        <v>223</v>
      </c>
      <c r="E230" s="226">
        <v>111957.7</v>
      </c>
      <c r="F230" s="218"/>
      <c r="G230" s="177"/>
      <c r="H230" s="245" t="s">
        <v>7</v>
      </c>
      <c r="I230" s="248"/>
      <c r="J230" s="260"/>
      <c r="K230" s="253"/>
      <c r="L230" s="238"/>
      <c r="M230" s="251"/>
      <c r="N230" s="238"/>
      <c r="O230" s="177"/>
      <c r="P230" s="278" t="s">
        <v>7</v>
      </c>
      <c r="Q230" s="274"/>
      <c r="R230" s="268"/>
      <c r="S230" s="177"/>
      <c r="T230" s="102"/>
      <c r="U230" s="7"/>
      <c r="V230" s="9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54"/>
      <c r="AM230" s="154"/>
      <c r="AN230" s="154"/>
      <c r="AO230" s="151"/>
      <c r="AP230" s="155"/>
      <c r="AQ230" s="155"/>
      <c r="AR230" s="155"/>
      <c r="AS230" s="155"/>
      <c r="AT230" s="152"/>
      <c r="AU230" s="151"/>
      <c r="AV230" s="151"/>
      <c r="AW230" s="133"/>
      <c r="AX230" s="133"/>
    </row>
    <row r="231" spans="1:50" ht="18.75" customHeight="1" x14ac:dyDescent="0.25">
      <c r="A231" s="412"/>
      <c r="B231" s="215" t="s">
        <v>8</v>
      </c>
      <c r="C231" s="214">
        <v>52.32</v>
      </c>
      <c r="D231" s="226">
        <v>54138.12</v>
      </c>
      <c r="E231" s="226">
        <v>121194.3</v>
      </c>
      <c r="F231" s="218"/>
      <c r="G231" s="177"/>
      <c r="H231" s="245" t="s">
        <v>8</v>
      </c>
      <c r="I231" s="248"/>
      <c r="J231" s="260"/>
      <c r="K231" s="253"/>
      <c r="L231" s="238"/>
      <c r="M231" s="251"/>
      <c r="N231" s="238"/>
      <c r="O231" s="177"/>
      <c r="P231" s="278" t="s">
        <v>8</v>
      </c>
      <c r="Q231" s="274"/>
      <c r="R231" s="268"/>
      <c r="S231" s="177"/>
      <c r="T231" s="102"/>
      <c r="U231" s="7"/>
      <c r="V231" s="9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  <c r="AL231" s="154"/>
      <c r="AM231" s="154"/>
      <c r="AN231" s="154"/>
      <c r="AO231" s="151"/>
      <c r="AP231" s="155"/>
      <c r="AQ231" s="155"/>
      <c r="AR231" s="155"/>
      <c r="AS231" s="155"/>
      <c r="AT231" s="152"/>
      <c r="AU231" s="151"/>
      <c r="AV231" s="151"/>
      <c r="AW231" s="133"/>
      <c r="AX231" s="133"/>
    </row>
    <row r="232" spans="1:50" ht="18.75" customHeight="1" x14ac:dyDescent="0.25">
      <c r="A232" s="412"/>
      <c r="B232" s="215" t="s">
        <v>9</v>
      </c>
      <c r="C232" s="214">
        <v>47.54</v>
      </c>
      <c r="D232" s="226">
        <v>49192.959999999999</v>
      </c>
      <c r="E232" s="226">
        <v>107633.9</v>
      </c>
      <c r="F232" s="218"/>
      <c r="G232" s="177"/>
      <c r="H232" s="245" t="s">
        <v>9</v>
      </c>
      <c r="I232" s="248">
        <v>3.4</v>
      </c>
      <c r="J232" s="260">
        <v>7824.6</v>
      </c>
      <c r="K232" s="264">
        <v>0.5</v>
      </c>
      <c r="L232" s="238">
        <v>100</v>
      </c>
      <c r="M232" s="251">
        <v>7.06</v>
      </c>
      <c r="N232" s="238">
        <v>13779.9</v>
      </c>
      <c r="O232" s="177"/>
      <c r="P232" s="278" t="s">
        <v>9</v>
      </c>
      <c r="Q232" s="274"/>
      <c r="R232" s="268"/>
      <c r="S232" s="177"/>
      <c r="T232" s="102"/>
      <c r="U232" s="7"/>
      <c r="V232" s="9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54"/>
      <c r="AM232" s="154"/>
      <c r="AN232" s="154"/>
      <c r="AO232" s="151"/>
      <c r="AP232" s="155"/>
      <c r="AQ232" s="155"/>
      <c r="AR232" s="155"/>
      <c r="AS232" s="155"/>
      <c r="AT232" s="152"/>
      <c r="AU232" s="151"/>
      <c r="AV232" s="151"/>
      <c r="AW232" s="133"/>
      <c r="AX232" s="133"/>
    </row>
    <row r="233" spans="1:50" ht="18.75" customHeight="1" x14ac:dyDescent="0.25">
      <c r="A233" s="412"/>
      <c r="B233" s="215" t="s">
        <v>10</v>
      </c>
      <c r="C233" s="214">
        <v>48.3</v>
      </c>
      <c r="D233" s="226">
        <v>49978.42</v>
      </c>
      <c r="E233" s="226">
        <v>126803.7</v>
      </c>
      <c r="F233" s="218"/>
      <c r="G233" s="177"/>
      <c r="H233" s="245" t="s">
        <v>10</v>
      </c>
      <c r="I233" s="248">
        <v>2.4500000000000002</v>
      </c>
      <c r="J233" s="260">
        <v>5071.5</v>
      </c>
      <c r="K233" s="266">
        <v>1.69</v>
      </c>
      <c r="L233" s="238">
        <v>338</v>
      </c>
      <c r="M233" s="251">
        <v>20.65</v>
      </c>
      <c r="N233" s="238">
        <v>37639.78</v>
      </c>
      <c r="O233" s="177"/>
      <c r="P233" s="278" t="s">
        <v>10</v>
      </c>
      <c r="Q233" s="274"/>
      <c r="R233" s="268"/>
      <c r="S233" s="177"/>
      <c r="T233" s="102"/>
      <c r="U233" s="7"/>
      <c r="V233" s="9"/>
      <c r="W233" s="177"/>
      <c r="X233" s="177"/>
      <c r="Y233" s="177" t="s">
        <v>241</v>
      </c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54"/>
      <c r="AM233" s="154"/>
      <c r="AN233" s="154"/>
      <c r="AO233" s="151"/>
      <c r="AP233" s="155"/>
      <c r="AQ233" s="155"/>
      <c r="AR233" s="155"/>
      <c r="AS233" s="155"/>
      <c r="AT233" s="152"/>
      <c r="AU233" s="151"/>
      <c r="AV233" s="151"/>
      <c r="AW233" s="133"/>
      <c r="AX233" s="133"/>
    </row>
    <row r="234" spans="1:50" ht="18.75" customHeight="1" x14ac:dyDescent="0.25">
      <c r="A234" s="412"/>
      <c r="B234" s="215" t="s">
        <v>11</v>
      </c>
      <c r="C234" s="214">
        <v>40.950000000000003</v>
      </c>
      <c r="D234" s="226">
        <v>42373.01</v>
      </c>
      <c r="E234" s="226">
        <v>107799.3</v>
      </c>
      <c r="F234" s="218"/>
      <c r="G234" s="177"/>
      <c r="H234" s="245" t="s">
        <v>11</v>
      </c>
      <c r="I234" s="248">
        <v>2.4</v>
      </c>
      <c r="J234" s="260">
        <v>4968</v>
      </c>
      <c r="K234" s="266">
        <v>1.1399999999999999</v>
      </c>
      <c r="L234" s="238">
        <v>228</v>
      </c>
      <c r="M234" s="251">
        <v>16.649999999999999</v>
      </c>
      <c r="N234" s="238">
        <v>30245.279999999999</v>
      </c>
      <c r="O234" s="177"/>
      <c r="P234" s="278" t="s">
        <v>11</v>
      </c>
      <c r="Q234" s="274">
        <v>1.64</v>
      </c>
      <c r="R234" s="268">
        <v>19768.63</v>
      </c>
      <c r="S234" s="177"/>
      <c r="T234" s="102"/>
      <c r="U234" s="7"/>
      <c r="V234" s="9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  <c r="AL234" s="154"/>
      <c r="AM234" s="154"/>
      <c r="AN234" s="154"/>
      <c r="AO234" s="151"/>
      <c r="AP234" s="155"/>
      <c r="AQ234" s="155"/>
      <c r="AR234" s="155"/>
      <c r="AS234" s="155"/>
      <c r="AT234" s="152"/>
      <c r="AU234" s="151"/>
      <c r="AV234" s="151"/>
      <c r="AW234" s="133"/>
      <c r="AX234" s="133"/>
    </row>
    <row r="235" spans="1:50" ht="18.75" customHeight="1" x14ac:dyDescent="0.25">
      <c r="A235" s="412"/>
      <c r="B235" s="215" t="s">
        <v>12</v>
      </c>
      <c r="C235" s="214">
        <v>35.049999999999997</v>
      </c>
      <c r="D235" s="226">
        <v>36267.980000000003</v>
      </c>
      <c r="E235" s="226">
        <v>94986</v>
      </c>
      <c r="F235" s="218"/>
      <c r="G235" s="177"/>
      <c r="H235" s="245" t="s">
        <v>12</v>
      </c>
      <c r="I235" s="248">
        <v>2.77</v>
      </c>
      <c r="J235" s="260">
        <v>5733.9</v>
      </c>
      <c r="K235" s="266">
        <v>1.81</v>
      </c>
      <c r="L235" s="238">
        <v>362</v>
      </c>
      <c r="M235" s="251">
        <v>11.12</v>
      </c>
      <c r="N235" s="238">
        <v>20268.98</v>
      </c>
      <c r="O235" s="177"/>
      <c r="P235" s="278" t="s">
        <v>12</v>
      </c>
      <c r="Q235" s="274">
        <v>1.54</v>
      </c>
      <c r="R235" s="268">
        <v>19829.86</v>
      </c>
      <c r="S235" s="177"/>
      <c r="T235" s="102">
        <v>2.81</v>
      </c>
      <c r="U235" s="7"/>
      <c r="V235" s="9">
        <v>3909.88</v>
      </c>
      <c r="W235" s="177"/>
      <c r="X235" s="177"/>
      <c r="Y235" s="177"/>
      <c r="Z235" s="177"/>
      <c r="AA235" s="177"/>
      <c r="AB235" s="177"/>
      <c r="AC235" s="177"/>
      <c r="AD235" s="177"/>
      <c r="AE235" s="177"/>
      <c r="AF235" s="177"/>
      <c r="AG235" s="177"/>
      <c r="AH235" s="177"/>
      <c r="AI235" s="177"/>
      <c r="AJ235" s="177"/>
      <c r="AK235" s="177"/>
      <c r="AL235" s="154"/>
      <c r="AM235" s="154"/>
      <c r="AN235" s="154"/>
      <c r="AO235" s="151"/>
      <c r="AP235" s="155"/>
      <c r="AQ235" s="155"/>
      <c r="AR235" s="155"/>
      <c r="AS235" s="155"/>
      <c r="AT235" s="152"/>
      <c r="AU235" s="151"/>
      <c r="AV235" s="151"/>
      <c r="AW235" s="133"/>
      <c r="AX235" s="133"/>
    </row>
    <row r="236" spans="1:50" ht="18.75" customHeight="1" x14ac:dyDescent="0.25">
      <c r="A236" s="412"/>
      <c r="B236" s="215" t="s">
        <v>13</v>
      </c>
      <c r="C236" s="227">
        <v>40.67</v>
      </c>
      <c r="D236" s="226">
        <v>42083.28</v>
      </c>
      <c r="E236" s="226">
        <v>116058.6</v>
      </c>
      <c r="F236" s="218"/>
      <c r="G236" s="177"/>
      <c r="H236" s="245" t="s">
        <v>13</v>
      </c>
      <c r="I236" s="249">
        <v>2.42</v>
      </c>
      <c r="J236" s="260">
        <v>5009.3999999999996</v>
      </c>
      <c r="K236" s="266">
        <v>1.38</v>
      </c>
      <c r="L236" s="238">
        <v>276</v>
      </c>
      <c r="M236" s="251">
        <v>18.510000000000002</v>
      </c>
      <c r="N236" s="238">
        <v>33739.1</v>
      </c>
      <c r="O236" s="177"/>
      <c r="P236" s="278" t="s">
        <v>13</v>
      </c>
      <c r="Q236" s="275">
        <v>3.82</v>
      </c>
      <c r="R236" s="268">
        <v>39986.9</v>
      </c>
      <c r="S236" s="177"/>
      <c r="T236" s="102"/>
      <c r="U236" s="7"/>
      <c r="V236" s="9"/>
      <c r="W236" s="177"/>
      <c r="X236" s="177"/>
      <c r="Y236" s="177"/>
      <c r="Z236" s="177"/>
      <c r="AA236" s="177"/>
      <c r="AB236" s="177"/>
      <c r="AC236" s="177"/>
      <c r="AD236" s="177"/>
      <c r="AE236" s="177"/>
      <c r="AF236" s="177"/>
      <c r="AG236" s="177"/>
      <c r="AH236" s="177"/>
      <c r="AI236" s="177"/>
      <c r="AJ236" s="177"/>
      <c r="AK236" s="177"/>
      <c r="AL236" s="154"/>
      <c r="AM236" s="154"/>
      <c r="AN236" s="154"/>
      <c r="AO236" s="151"/>
      <c r="AP236" s="155"/>
      <c r="AQ236" s="155"/>
      <c r="AR236" s="155"/>
      <c r="AS236" s="155"/>
      <c r="AT236" s="152"/>
      <c r="AU236" s="151"/>
      <c r="AV236" s="151"/>
      <c r="AW236" s="133"/>
      <c r="AX236" s="133"/>
    </row>
    <row r="237" spans="1:50" ht="18.75" customHeight="1" thickBot="1" x14ac:dyDescent="0.3">
      <c r="A237" s="412"/>
      <c r="B237" s="215" t="s">
        <v>14</v>
      </c>
      <c r="C237" s="214">
        <v>30.84</v>
      </c>
      <c r="D237" s="226">
        <v>31911.69</v>
      </c>
      <c r="E237" s="226">
        <v>95674.6</v>
      </c>
      <c r="F237" s="218"/>
      <c r="G237" s="177"/>
      <c r="H237" s="245" t="s">
        <v>14</v>
      </c>
      <c r="I237" s="250">
        <v>1.65</v>
      </c>
      <c r="J237" s="261">
        <v>3415.5</v>
      </c>
      <c r="K237" s="295">
        <v>1.6</v>
      </c>
      <c r="L237" s="254">
        <v>320</v>
      </c>
      <c r="M237" s="263">
        <v>12.34</v>
      </c>
      <c r="N237" s="254">
        <v>22492.73</v>
      </c>
      <c r="O237" s="177"/>
      <c r="P237" s="279" t="s">
        <v>14</v>
      </c>
      <c r="Q237" s="276">
        <v>1.46</v>
      </c>
      <c r="R237" s="269">
        <v>19508.73</v>
      </c>
      <c r="S237" s="177"/>
      <c r="T237" s="15"/>
      <c r="U237" s="17"/>
      <c r="V237" s="78"/>
      <c r="W237" s="177"/>
      <c r="X237" s="177"/>
      <c r="Y237" s="177"/>
      <c r="Z237" s="177"/>
      <c r="AA237" s="177"/>
      <c r="AB237" s="177"/>
      <c r="AC237" s="177"/>
      <c r="AD237" s="177"/>
      <c r="AE237" s="177"/>
      <c r="AF237" s="177"/>
      <c r="AG237" s="177"/>
      <c r="AH237" s="177"/>
      <c r="AI237" s="177"/>
      <c r="AJ237" s="177"/>
      <c r="AK237" s="177"/>
      <c r="AL237" s="154"/>
      <c r="AM237" s="154"/>
      <c r="AN237" s="154"/>
      <c r="AO237" s="151"/>
      <c r="AP237" s="155"/>
      <c r="AQ237" s="155"/>
      <c r="AR237" s="155"/>
      <c r="AS237" s="155"/>
      <c r="AT237" s="152"/>
      <c r="AU237" s="151"/>
      <c r="AV237" s="151"/>
      <c r="AW237" s="133"/>
      <c r="AX237" s="133"/>
    </row>
    <row r="238" spans="1:50" ht="18.75" customHeight="1" thickBot="1" x14ac:dyDescent="0.3">
      <c r="A238" s="412"/>
      <c r="B238" s="216" t="s">
        <v>15</v>
      </c>
      <c r="C238" s="228">
        <f>SUM(C226:C237)</f>
        <v>500.02000000000004</v>
      </c>
      <c r="D238" s="229">
        <f>SUM(D226:D237)</f>
        <v>465689.64999999997</v>
      </c>
      <c r="E238" s="229">
        <f>SUM(E226:E237)</f>
        <v>1302281.7000000002</v>
      </c>
      <c r="F238" s="230"/>
      <c r="G238" s="177"/>
      <c r="H238" s="239" t="s">
        <v>15</v>
      </c>
      <c r="I238" s="228">
        <f t="shared" ref="I238:N238" si="50">SUM(I226:I237)</f>
        <v>15.09</v>
      </c>
      <c r="J238" s="229">
        <f t="shared" si="50"/>
        <v>32022.9</v>
      </c>
      <c r="K238" s="265">
        <f>SUM(K226:K237)</f>
        <v>8.120000000000001</v>
      </c>
      <c r="L238" s="252">
        <f t="shared" si="50"/>
        <v>1624</v>
      </c>
      <c r="M238" s="257">
        <f t="shared" si="50"/>
        <v>86.33</v>
      </c>
      <c r="N238" s="258">
        <f t="shared" si="50"/>
        <v>158165.76999999999</v>
      </c>
      <c r="O238" s="177"/>
      <c r="P238" s="270" t="s">
        <v>15</v>
      </c>
      <c r="Q238" s="271">
        <f t="shared" ref="Q238:R238" si="51">SUM(Q226:Q237)</f>
        <v>8.4600000000000009</v>
      </c>
      <c r="R238" s="272">
        <f t="shared" si="51"/>
        <v>99094.12000000001</v>
      </c>
      <c r="S238" s="177"/>
      <c r="T238" s="293">
        <f>SUM(T225:T236)</f>
        <v>2.81</v>
      </c>
      <c r="U238" s="173">
        <f>SUM(U225:U236)</f>
        <v>0</v>
      </c>
      <c r="V238" s="294">
        <f>SUM(V225:V236)</f>
        <v>3909.88</v>
      </c>
      <c r="W238" s="177"/>
      <c r="X238" s="177"/>
      <c r="Y238" s="177"/>
      <c r="Z238" s="177"/>
      <c r="AA238" s="177"/>
      <c r="AB238" s="177"/>
      <c r="AC238" s="177"/>
      <c r="AD238" s="177"/>
      <c r="AE238" s="177"/>
      <c r="AF238" s="177"/>
      <c r="AG238" s="177"/>
      <c r="AH238" s="177"/>
      <c r="AI238" s="177"/>
      <c r="AJ238" s="177"/>
      <c r="AK238" s="177"/>
      <c r="AL238" s="154"/>
      <c r="AM238" s="154"/>
      <c r="AN238" s="154"/>
      <c r="AO238" s="151"/>
      <c r="AP238" s="155"/>
      <c r="AQ238" s="155"/>
      <c r="AR238" s="155"/>
      <c r="AS238" s="155"/>
      <c r="AT238" s="152"/>
      <c r="AU238" s="151"/>
      <c r="AV238" s="151"/>
      <c r="AW238" s="133"/>
      <c r="AX238" s="133"/>
    </row>
    <row r="239" spans="1:50" ht="18.75" customHeight="1" thickBot="1" x14ac:dyDescent="0.3">
      <c r="A239" s="411"/>
      <c r="B239" s="342" t="s">
        <v>220</v>
      </c>
      <c r="C239" s="342"/>
      <c r="D239" s="343">
        <f>SUM(E238+D238+D220+G220+J220+J238+N238+R238+M220+P220+S220+V220+Y220+AB220+AE220-AN219+AO219-AU219+AV219-AM219)</f>
        <v>3812676.78</v>
      </c>
      <c r="E239" s="344"/>
      <c r="F239" s="345"/>
      <c r="G239" s="177"/>
      <c r="H239" s="243"/>
      <c r="I239" s="243"/>
      <c r="J239" s="240"/>
      <c r="K239" s="240"/>
      <c r="L239" s="240"/>
      <c r="M239" s="241"/>
      <c r="N239" s="241"/>
      <c r="O239" s="177"/>
      <c r="P239" s="177"/>
      <c r="Q239" s="177"/>
      <c r="R239" s="177"/>
      <c r="S239" s="177"/>
      <c r="T239" s="289"/>
      <c r="U239" s="287">
        <f>SUM(V238+U238)</f>
        <v>3909.88</v>
      </c>
      <c r="V239" s="288"/>
      <c r="W239" s="177"/>
      <c r="X239" s="177"/>
      <c r="Y239" s="177"/>
      <c r="Z239" s="177"/>
      <c r="AA239" s="177"/>
      <c r="AB239" s="177"/>
      <c r="AC239" s="177"/>
      <c r="AD239" s="177"/>
      <c r="AE239" s="177"/>
      <c r="AF239" s="177"/>
      <c r="AG239" s="177"/>
      <c r="AH239" s="177"/>
      <c r="AI239" s="177"/>
      <c r="AJ239" s="177"/>
      <c r="AK239" s="177"/>
      <c r="AL239" s="154"/>
      <c r="AM239" s="154"/>
      <c r="AN239" s="154"/>
      <c r="AO239" s="151"/>
      <c r="AP239" s="155"/>
      <c r="AQ239" s="155"/>
      <c r="AR239" s="155"/>
      <c r="AS239" s="155"/>
      <c r="AT239" s="152"/>
      <c r="AU239" s="151"/>
      <c r="AV239" s="151"/>
      <c r="AW239" s="133"/>
      <c r="AX239" s="133"/>
    </row>
    <row r="240" spans="1:50" ht="18.75" customHeight="1" thickBot="1" x14ac:dyDescent="0.3">
      <c r="A240" s="411"/>
      <c r="B240" s="346" t="s">
        <v>206</v>
      </c>
      <c r="C240" s="346"/>
      <c r="D240" s="347">
        <f>SUM(C238+C219+F219+I219+L219+O219+R219+M238)</f>
        <v>1236.8699999999999</v>
      </c>
      <c r="E240" s="348"/>
      <c r="F240" s="349"/>
      <c r="G240" s="177"/>
      <c r="H240" s="280" t="s">
        <v>236</v>
      </c>
      <c r="I240" s="281">
        <f>SUM(AP219+I238+Q238)</f>
        <v>54.428100000000008</v>
      </c>
      <c r="J240" s="242"/>
      <c r="K240" s="282" t="s">
        <v>27</v>
      </c>
      <c r="L240" s="283">
        <f>SUM(AR219+K238)</f>
        <v>72.632200000000012</v>
      </c>
      <c r="M240" s="241"/>
      <c r="N240" s="284" t="s">
        <v>237</v>
      </c>
      <c r="O240" s="285">
        <f>SUM(F219+C238+M238+C219)</f>
        <v>810.35000000000014</v>
      </c>
      <c r="P240" s="177"/>
      <c r="Q240" s="286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54"/>
      <c r="AM240" s="154"/>
      <c r="AN240" s="154"/>
      <c r="AO240" s="151"/>
      <c r="AP240" s="155"/>
      <c r="AQ240" s="155"/>
      <c r="AR240" s="155"/>
      <c r="AS240" s="155"/>
      <c r="AT240" s="152"/>
      <c r="AU240" s="151"/>
      <c r="AV240" s="151"/>
      <c r="AW240" s="133"/>
      <c r="AX240" s="133"/>
    </row>
    <row r="241" spans="1:50" ht="18.75" customHeight="1" thickBot="1" x14ac:dyDescent="0.3">
      <c r="A241" s="413"/>
      <c r="B241" s="399" t="s">
        <v>207</v>
      </c>
      <c r="C241" s="399"/>
      <c r="D241" s="400">
        <f>SUM(E238+E219+H219+K219+Q219+N219+T219+W219+Z219+AC219+AF219+AV219)</f>
        <v>2251170.8199999998</v>
      </c>
      <c r="E241" s="401"/>
      <c r="F241" s="402"/>
      <c r="G241" s="177"/>
      <c r="H241" s="243"/>
      <c r="I241" s="243"/>
      <c r="J241" s="241"/>
      <c r="K241" s="241"/>
      <c r="L241" s="241"/>
      <c r="M241" s="241"/>
      <c r="N241" s="241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54"/>
      <c r="AM241" s="154"/>
      <c r="AN241" s="154"/>
      <c r="AO241" s="151"/>
      <c r="AP241" s="155"/>
      <c r="AQ241" s="155"/>
      <c r="AR241" s="155"/>
      <c r="AS241" s="155"/>
      <c r="AT241" s="152"/>
      <c r="AU241" s="151"/>
      <c r="AV241" s="151"/>
      <c r="AW241" s="133"/>
      <c r="AX241" s="133"/>
    </row>
    <row r="242" spans="1:50" ht="18.75" customHeight="1" x14ac:dyDescent="0.25">
      <c r="A242" s="191"/>
      <c r="B242" s="192"/>
      <c r="C242" s="182"/>
      <c r="D242" s="193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54"/>
      <c r="AM242" s="154"/>
      <c r="AN242" s="154"/>
      <c r="AO242" s="151"/>
      <c r="AP242" s="155"/>
      <c r="AQ242" s="155"/>
      <c r="AR242" s="155"/>
      <c r="AS242" s="155"/>
      <c r="AT242" s="152"/>
      <c r="AU242" s="151"/>
      <c r="AV242" s="151"/>
      <c r="AW242" s="133"/>
      <c r="AX242" s="133"/>
    </row>
    <row r="243" spans="1:50" ht="18.75" customHeight="1" thickBot="1" x14ac:dyDescent="0.3">
      <c r="B243" s="192"/>
      <c r="C243" s="182"/>
      <c r="D243" s="175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54"/>
      <c r="AM243" s="154"/>
      <c r="AN243" s="154"/>
      <c r="AO243" s="151"/>
      <c r="AP243" s="155"/>
      <c r="AQ243" s="155"/>
      <c r="AR243" s="155"/>
      <c r="AS243" s="155"/>
      <c r="AT243" s="152"/>
      <c r="AU243" s="151"/>
      <c r="AV243" s="151"/>
      <c r="AW243" s="133"/>
      <c r="AX243" s="133"/>
    </row>
    <row r="244" spans="1:50" ht="18.75" customHeight="1" thickTop="1" thickBot="1" x14ac:dyDescent="0.3">
      <c r="B244" s="197" t="s">
        <v>183</v>
      </c>
      <c r="C244" s="383" t="s">
        <v>118</v>
      </c>
      <c r="D244" s="383"/>
      <c r="E244" s="384"/>
      <c r="F244" s="382" t="s">
        <v>124</v>
      </c>
      <c r="G244" s="383"/>
      <c r="H244" s="384"/>
      <c r="I244" s="382" t="s">
        <v>125</v>
      </c>
      <c r="J244" s="383"/>
      <c r="K244" s="385"/>
      <c r="L244" s="386" t="s">
        <v>129</v>
      </c>
      <c r="M244" s="364"/>
      <c r="N244" s="365"/>
      <c r="O244" s="363" t="s">
        <v>134</v>
      </c>
      <c r="P244" s="364"/>
      <c r="Q244" s="365"/>
      <c r="R244" s="387" t="s">
        <v>154</v>
      </c>
      <c r="S244" s="388"/>
      <c r="T244" s="389"/>
      <c r="U244" s="363" t="s">
        <v>158</v>
      </c>
      <c r="V244" s="364"/>
      <c r="W244" s="365"/>
      <c r="X244" s="363" t="s">
        <v>159</v>
      </c>
      <c r="Y244" s="364"/>
      <c r="Z244" s="365"/>
      <c r="AA244" s="363" t="s">
        <v>138</v>
      </c>
      <c r="AB244" s="364"/>
      <c r="AC244" s="365"/>
      <c r="AD244" s="363" t="s">
        <v>130</v>
      </c>
      <c r="AE244" s="364"/>
      <c r="AF244" s="365"/>
      <c r="AG244" s="414" t="s">
        <v>152</v>
      </c>
      <c r="AH244" s="415"/>
      <c r="AI244" s="416" t="s">
        <v>167</v>
      </c>
      <c r="AJ244" s="415"/>
      <c r="AK244" s="8"/>
      <c r="AL244" s="8"/>
      <c r="AM244" s="8"/>
      <c r="AN244" s="8"/>
      <c r="AO244" s="417" t="s">
        <v>99</v>
      </c>
      <c r="AP244" s="418"/>
      <c r="AQ244" s="418"/>
      <c r="AR244" s="419"/>
      <c r="AS244" s="8"/>
      <c r="AT244" s="363" t="s">
        <v>145</v>
      </c>
      <c r="AU244" s="364"/>
      <c r="AV244" s="365"/>
      <c r="AW244" s="141"/>
    </row>
    <row r="245" spans="1:50" ht="60" customHeight="1" x14ac:dyDescent="0.25">
      <c r="A245" s="403" t="s">
        <v>217</v>
      </c>
      <c r="B245" s="198" t="s">
        <v>0</v>
      </c>
      <c r="C245" s="110" t="s">
        <v>119</v>
      </c>
      <c r="D245" s="20" t="s">
        <v>120</v>
      </c>
      <c r="E245" s="14" t="s">
        <v>121</v>
      </c>
      <c r="F245" s="86" t="s">
        <v>119</v>
      </c>
      <c r="G245" s="20" t="s">
        <v>120</v>
      </c>
      <c r="H245" s="14" t="s">
        <v>121</v>
      </c>
      <c r="I245" s="86" t="s">
        <v>23</v>
      </c>
      <c r="J245" s="20" t="s">
        <v>122</v>
      </c>
      <c r="K245" s="111" t="s">
        <v>123</v>
      </c>
      <c r="L245" s="184" t="s">
        <v>131</v>
      </c>
      <c r="M245" s="20" t="s">
        <v>132</v>
      </c>
      <c r="N245" s="14" t="s">
        <v>133</v>
      </c>
      <c r="O245" s="86" t="s">
        <v>135</v>
      </c>
      <c r="P245" s="20" t="s">
        <v>136</v>
      </c>
      <c r="Q245" s="14" t="s">
        <v>137</v>
      </c>
      <c r="R245" s="86" t="s">
        <v>155</v>
      </c>
      <c r="S245" s="20" t="s">
        <v>156</v>
      </c>
      <c r="T245" s="14" t="s">
        <v>157</v>
      </c>
      <c r="U245" s="86" t="s">
        <v>160</v>
      </c>
      <c r="V245" s="20" t="s">
        <v>161</v>
      </c>
      <c r="W245" s="14" t="s">
        <v>162</v>
      </c>
      <c r="X245" s="86" t="s">
        <v>163</v>
      </c>
      <c r="Y245" s="20" t="s">
        <v>164</v>
      </c>
      <c r="Z245" s="14" t="s">
        <v>165</v>
      </c>
      <c r="AA245" s="86" t="s">
        <v>139</v>
      </c>
      <c r="AB245" s="20" t="s">
        <v>140</v>
      </c>
      <c r="AC245" s="14" t="s">
        <v>141</v>
      </c>
      <c r="AD245" s="86" t="s">
        <v>126</v>
      </c>
      <c r="AE245" s="20" t="s">
        <v>127</v>
      </c>
      <c r="AF245" s="14" t="s">
        <v>128</v>
      </c>
      <c r="AG245" s="20" t="s">
        <v>172</v>
      </c>
      <c r="AH245" s="20" t="s">
        <v>171</v>
      </c>
      <c r="AI245" s="20" t="s">
        <v>169</v>
      </c>
      <c r="AJ245" s="20" t="s">
        <v>170</v>
      </c>
      <c r="AK245" s="14" t="s">
        <v>173</v>
      </c>
      <c r="AL245" s="14" t="s">
        <v>97</v>
      </c>
      <c r="AM245" s="14" t="s">
        <v>101</v>
      </c>
      <c r="AN245" s="14" t="s">
        <v>66</v>
      </c>
      <c r="AO245" s="20" t="s">
        <v>202</v>
      </c>
      <c r="AP245" s="14" t="s">
        <v>90</v>
      </c>
      <c r="AQ245" s="14" t="s">
        <v>91</v>
      </c>
      <c r="AR245" s="14" t="s">
        <v>27</v>
      </c>
      <c r="AS245" s="14" t="s">
        <v>100</v>
      </c>
      <c r="AT245" s="86" t="s">
        <v>146</v>
      </c>
      <c r="AU245" s="22" t="s">
        <v>148</v>
      </c>
      <c r="AV245" s="183" t="s">
        <v>147</v>
      </c>
      <c r="AW245" s="135" t="s">
        <v>94</v>
      </c>
    </row>
    <row r="246" spans="1:50" ht="18.75" customHeight="1" thickBot="1" x14ac:dyDescent="0.3">
      <c r="A246" s="404"/>
      <c r="B246" s="199"/>
      <c r="C246" s="112" t="s">
        <v>151</v>
      </c>
      <c r="D246" s="18" t="s">
        <v>151</v>
      </c>
      <c r="E246" s="87" t="s">
        <v>1</v>
      </c>
      <c r="F246" s="90" t="s">
        <v>151</v>
      </c>
      <c r="G246" s="18" t="s">
        <v>151</v>
      </c>
      <c r="H246" s="87" t="s">
        <v>1</v>
      </c>
      <c r="I246" s="90" t="s">
        <v>151</v>
      </c>
      <c r="J246" s="18" t="s">
        <v>151</v>
      </c>
      <c r="K246" s="113" t="s">
        <v>1</v>
      </c>
      <c r="L246" s="85" t="s">
        <v>151</v>
      </c>
      <c r="M246" s="18" t="s">
        <v>151</v>
      </c>
      <c r="N246" s="87" t="s">
        <v>1</v>
      </c>
      <c r="O246" s="90" t="s">
        <v>151</v>
      </c>
      <c r="P246" s="18" t="s">
        <v>151</v>
      </c>
      <c r="Q246" s="87" t="s">
        <v>1</v>
      </c>
      <c r="R246" s="90" t="s">
        <v>151</v>
      </c>
      <c r="S246" s="18" t="s">
        <v>151</v>
      </c>
      <c r="T246" s="87" t="s">
        <v>1</v>
      </c>
      <c r="U246" s="90" t="s">
        <v>151</v>
      </c>
      <c r="V246" s="18" t="s">
        <v>151</v>
      </c>
      <c r="W246" s="87" t="s">
        <v>1</v>
      </c>
      <c r="X246" s="90" t="s">
        <v>151</v>
      </c>
      <c r="Y246" s="18" t="s">
        <v>151</v>
      </c>
      <c r="Z246" s="87" t="s">
        <v>1</v>
      </c>
      <c r="AA246" s="90" t="s">
        <v>151</v>
      </c>
      <c r="AB246" s="18" t="s">
        <v>151</v>
      </c>
      <c r="AC246" s="87" t="s">
        <v>1</v>
      </c>
      <c r="AD246" s="90" t="s">
        <v>151</v>
      </c>
      <c r="AE246" s="18" t="s">
        <v>151</v>
      </c>
      <c r="AF246" s="87" t="s">
        <v>151</v>
      </c>
      <c r="AG246" s="85" t="s">
        <v>17</v>
      </c>
      <c r="AH246" s="18" t="s">
        <v>18</v>
      </c>
      <c r="AI246" s="85" t="s">
        <v>168</v>
      </c>
      <c r="AJ246" s="18" t="s">
        <v>151</v>
      </c>
      <c r="AK246" s="18" t="s">
        <v>18</v>
      </c>
      <c r="AL246" s="18" t="s">
        <v>98</v>
      </c>
      <c r="AM246" s="18" t="s">
        <v>98</v>
      </c>
      <c r="AN246" s="18" t="s">
        <v>98</v>
      </c>
      <c r="AO246" s="18" t="s">
        <v>150</v>
      </c>
      <c r="AP246" s="18" t="s">
        <v>17</v>
      </c>
      <c r="AQ246" s="18" t="s">
        <v>17</v>
      </c>
      <c r="AR246" s="18" t="s">
        <v>17</v>
      </c>
      <c r="AS246" s="18" t="s">
        <v>17</v>
      </c>
      <c r="AT246" s="90" t="s">
        <v>149</v>
      </c>
      <c r="AU246" s="90" t="s">
        <v>149</v>
      </c>
      <c r="AV246" s="134" t="s">
        <v>1</v>
      </c>
      <c r="AW246" s="142" t="s">
        <v>93</v>
      </c>
    </row>
    <row r="247" spans="1:50" ht="18.75" customHeight="1" x14ac:dyDescent="0.25">
      <c r="A247" s="404"/>
      <c r="B247" s="210" t="s">
        <v>3</v>
      </c>
      <c r="C247" s="114">
        <v>33.4</v>
      </c>
      <c r="D247" s="3">
        <v>34560.65</v>
      </c>
      <c r="E247" s="21">
        <v>30117.64</v>
      </c>
      <c r="F247" s="1">
        <v>6.33</v>
      </c>
      <c r="G247" s="3">
        <v>6549.97</v>
      </c>
      <c r="H247" s="21">
        <v>20156.05</v>
      </c>
      <c r="I247" s="1">
        <v>3.4</v>
      </c>
      <c r="J247" s="3">
        <v>4397.8999999999996</v>
      </c>
      <c r="K247" s="115">
        <v>3628.71</v>
      </c>
      <c r="L247" s="107"/>
      <c r="M247" s="3"/>
      <c r="N247" s="21"/>
      <c r="O247" s="101"/>
      <c r="P247" s="3"/>
      <c r="Q247" s="21"/>
      <c r="R247" s="101"/>
      <c r="S247" s="3"/>
      <c r="T247" s="21"/>
      <c r="U247" s="101"/>
      <c r="V247" s="3"/>
      <c r="W247" s="21"/>
      <c r="X247" s="101"/>
      <c r="Y247" s="3"/>
      <c r="Z247" s="21"/>
      <c r="AA247" s="101"/>
      <c r="AB247" s="3"/>
      <c r="AC247" s="21"/>
      <c r="AD247" s="98"/>
      <c r="AE247" s="3"/>
      <c r="AF247" s="21"/>
      <c r="AG247" s="93"/>
      <c r="AH247" s="3"/>
      <c r="AI247" s="93"/>
      <c r="AJ247" s="3"/>
      <c r="AK247" s="21"/>
      <c r="AL247" s="21"/>
      <c r="AM247" s="21"/>
      <c r="AN247" s="21">
        <v>71535.5</v>
      </c>
      <c r="AO247" s="3">
        <v>26252.37</v>
      </c>
      <c r="AP247" s="72">
        <v>2.1524999999999999</v>
      </c>
      <c r="AQ247" s="72">
        <v>1.6891</v>
      </c>
      <c r="AR247" s="72">
        <v>6.0476000000000001</v>
      </c>
      <c r="AS247" s="72"/>
      <c r="AT247" s="98"/>
      <c r="AU247" s="3"/>
      <c r="AV247" s="137"/>
      <c r="AW247" s="143">
        <v>612</v>
      </c>
    </row>
    <row r="248" spans="1:50" ht="18.75" customHeight="1" x14ac:dyDescent="0.25">
      <c r="A248" s="404"/>
      <c r="B248" s="211" t="s">
        <v>4</v>
      </c>
      <c r="C248" s="116">
        <v>28.55</v>
      </c>
      <c r="D248" s="7">
        <v>29542.11</v>
      </c>
      <c r="E248" s="9">
        <v>42201.55</v>
      </c>
      <c r="F248" s="5">
        <v>8.02</v>
      </c>
      <c r="G248" s="7">
        <v>8298.69</v>
      </c>
      <c r="H248" s="9">
        <v>20154.669999999998</v>
      </c>
      <c r="I248" s="5">
        <v>5.51</v>
      </c>
      <c r="J248" s="7">
        <v>7127.19</v>
      </c>
      <c r="K248" s="117">
        <v>7536.29</v>
      </c>
      <c r="L248" s="108">
        <v>6.17</v>
      </c>
      <c r="M248" s="7">
        <v>6385.95</v>
      </c>
      <c r="N248" s="9">
        <v>7077.44</v>
      </c>
      <c r="O248" s="102"/>
      <c r="P248" s="7"/>
      <c r="Q248" s="9"/>
      <c r="R248" s="102"/>
      <c r="S248" s="7"/>
      <c r="T248" s="9"/>
      <c r="U248" s="102"/>
      <c r="V248" s="7"/>
      <c r="W248" s="9"/>
      <c r="X248" s="102"/>
      <c r="Y248" s="7"/>
      <c r="Z248" s="9"/>
      <c r="AA248" s="102"/>
      <c r="AB248" s="7"/>
      <c r="AC248" s="9"/>
      <c r="AD248" s="99"/>
      <c r="AE248" s="7"/>
      <c r="AF248" s="9"/>
      <c r="AG248" s="94"/>
      <c r="AH248" s="7"/>
      <c r="AI248" s="94"/>
      <c r="AJ248" s="7"/>
      <c r="AK248" s="9"/>
      <c r="AL248" s="9"/>
      <c r="AM248" s="9"/>
      <c r="AN248" s="9"/>
      <c r="AO248" s="7">
        <v>25442.03</v>
      </c>
      <c r="AP248" s="72">
        <v>2.1621000000000001</v>
      </c>
      <c r="AQ248" s="72">
        <v>0.90149999999999997</v>
      </c>
      <c r="AR248" s="72">
        <v>2.6949000000000001</v>
      </c>
      <c r="AS248" s="72"/>
      <c r="AT248" s="99"/>
      <c r="AU248" s="7"/>
      <c r="AV248" s="138"/>
      <c r="AW248" s="143">
        <v>498</v>
      </c>
    </row>
    <row r="249" spans="1:50" ht="18.75" customHeight="1" x14ac:dyDescent="0.25">
      <c r="A249" s="404"/>
      <c r="B249" s="211" t="s">
        <v>5</v>
      </c>
      <c r="C249" s="118">
        <v>38.76</v>
      </c>
      <c r="D249" s="7">
        <v>40106.910000000003</v>
      </c>
      <c r="E249" s="9">
        <v>47238.32</v>
      </c>
      <c r="F249" s="96">
        <v>15.83</v>
      </c>
      <c r="G249" s="7">
        <v>16380.09</v>
      </c>
      <c r="H249" s="9">
        <v>20153.060000000001</v>
      </c>
      <c r="I249" s="96">
        <v>7.95</v>
      </c>
      <c r="J249" s="105">
        <v>10283.33</v>
      </c>
      <c r="K249" s="117">
        <v>16669.59</v>
      </c>
      <c r="L249" s="108"/>
      <c r="M249" s="7"/>
      <c r="N249" s="9"/>
      <c r="O249" s="102"/>
      <c r="P249" s="7"/>
      <c r="Q249" s="9"/>
      <c r="R249" s="102"/>
      <c r="S249" s="7"/>
      <c r="T249" s="9"/>
      <c r="U249" s="102"/>
      <c r="V249" s="7"/>
      <c r="W249" s="9"/>
      <c r="X249" s="102"/>
      <c r="Y249" s="7"/>
      <c r="Z249" s="9"/>
      <c r="AA249" s="102"/>
      <c r="AB249" s="7"/>
      <c r="AC249" s="9"/>
      <c r="AD249" s="99"/>
      <c r="AE249" s="7"/>
      <c r="AF249" s="9"/>
      <c r="AG249" s="94"/>
      <c r="AH249" s="7"/>
      <c r="AI249" s="94"/>
      <c r="AJ249" s="7"/>
      <c r="AK249" s="9"/>
      <c r="AL249" s="9"/>
      <c r="AM249" s="9">
        <v>2877.6</v>
      </c>
      <c r="AN249" s="9"/>
      <c r="AO249" s="7">
        <v>25966.85</v>
      </c>
      <c r="AP249" s="72">
        <v>1.8758999999999999</v>
      </c>
      <c r="AQ249" s="72">
        <v>1.6798999999999999</v>
      </c>
      <c r="AR249" s="72">
        <v>4.1898</v>
      </c>
      <c r="AS249" s="72"/>
      <c r="AT249" s="99">
        <v>1.24</v>
      </c>
      <c r="AU249" s="7">
        <v>4216</v>
      </c>
      <c r="AV249" s="138">
        <v>2542.7600000000002</v>
      </c>
      <c r="AW249" s="143">
        <v>75</v>
      </c>
    </row>
    <row r="250" spans="1:50" ht="18.75" customHeight="1" x14ac:dyDescent="0.25">
      <c r="A250" s="404"/>
      <c r="B250" s="211" t="s">
        <v>6</v>
      </c>
      <c r="C250" s="118">
        <v>56.69</v>
      </c>
      <c r="D250" s="7">
        <v>58659.98</v>
      </c>
      <c r="E250" s="9">
        <v>74086.899999999994</v>
      </c>
      <c r="F250" s="96">
        <v>46.81</v>
      </c>
      <c r="G250" s="7">
        <v>48436.639999999999</v>
      </c>
      <c r="H250" s="9">
        <v>38249.4</v>
      </c>
      <c r="I250" s="96">
        <v>23.26</v>
      </c>
      <c r="J250" s="7">
        <v>30086.81</v>
      </c>
      <c r="K250" s="117">
        <v>22270</v>
      </c>
      <c r="L250" s="108"/>
      <c r="M250" s="7"/>
      <c r="N250" s="9"/>
      <c r="O250" s="102"/>
      <c r="P250" s="7"/>
      <c r="Q250" s="9"/>
      <c r="R250" s="102"/>
      <c r="S250" s="7"/>
      <c r="T250" s="9"/>
      <c r="U250" s="102"/>
      <c r="V250" s="7"/>
      <c r="W250" s="9"/>
      <c r="X250" s="102"/>
      <c r="Y250" s="7"/>
      <c r="Z250" s="9"/>
      <c r="AA250" s="102"/>
      <c r="AB250" s="7"/>
      <c r="AC250" s="9"/>
      <c r="AD250" s="99"/>
      <c r="AE250" s="7"/>
      <c r="AF250" s="9"/>
      <c r="AG250" s="94"/>
      <c r="AH250" s="7"/>
      <c r="AI250" s="94"/>
      <c r="AJ250" s="7"/>
      <c r="AK250" s="9"/>
      <c r="AL250" s="9"/>
      <c r="AM250" s="9"/>
      <c r="AN250" s="9"/>
      <c r="AO250" s="7">
        <v>42924.49</v>
      </c>
      <c r="AP250" s="72">
        <v>4.0818000000000003</v>
      </c>
      <c r="AQ250" s="72">
        <v>2.7829999999999999</v>
      </c>
      <c r="AR250" s="72">
        <v>4.7140000000000004</v>
      </c>
      <c r="AS250" s="72"/>
      <c r="AT250" s="99">
        <v>4.08</v>
      </c>
      <c r="AU250" s="7">
        <v>13464</v>
      </c>
      <c r="AV250" s="138">
        <v>7149.78</v>
      </c>
      <c r="AW250" s="143">
        <v>99</v>
      </c>
    </row>
    <row r="251" spans="1:50" ht="18.75" customHeight="1" x14ac:dyDescent="0.25">
      <c r="A251" s="404"/>
      <c r="B251" s="211" t="s">
        <v>7</v>
      </c>
      <c r="C251" s="119">
        <v>49.83</v>
      </c>
      <c r="D251" s="7">
        <v>51561.59</v>
      </c>
      <c r="E251" s="9">
        <v>42951.35</v>
      </c>
      <c r="F251" s="91">
        <v>8</v>
      </c>
      <c r="G251" s="7">
        <v>8288.35</v>
      </c>
      <c r="H251" s="9">
        <v>17166.16</v>
      </c>
      <c r="I251" s="96">
        <v>32.729999999999997</v>
      </c>
      <c r="J251" s="7">
        <v>42336.26</v>
      </c>
      <c r="K251" s="117">
        <v>42871.54</v>
      </c>
      <c r="L251" s="108">
        <v>3.4</v>
      </c>
      <c r="M251" s="7">
        <v>3519</v>
      </c>
      <c r="N251" s="9">
        <v>21942.57</v>
      </c>
      <c r="O251" s="102"/>
      <c r="P251" s="7"/>
      <c r="Q251" s="9"/>
      <c r="R251" s="102"/>
      <c r="S251" s="7"/>
      <c r="T251" s="9"/>
      <c r="U251" s="102"/>
      <c r="V251" s="7"/>
      <c r="W251" s="9"/>
      <c r="X251" s="102"/>
      <c r="Y251" s="7"/>
      <c r="Z251" s="9"/>
      <c r="AA251" s="102">
        <v>1.25</v>
      </c>
      <c r="AB251" s="7">
        <v>2783</v>
      </c>
      <c r="AC251" s="9">
        <v>3349.83</v>
      </c>
      <c r="AD251" s="99"/>
      <c r="AE251" s="7"/>
      <c r="AF251" s="9"/>
      <c r="AG251" s="94"/>
      <c r="AH251" s="7"/>
      <c r="AI251" s="94"/>
      <c r="AJ251" s="7"/>
      <c r="AK251" s="9"/>
      <c r="AL251" s="9"/>
      <c r="AM251" s="9"/>
      <c r="AN251" s="9">
        <v>63842.5</v>
      </c>
      <c r="AO251" s="7">
        <v>38547.22</v>
      </c>
      <c r="AP251" s="72">
        <v>3.6678999999999999</v>
      </c>
      <c r="AQ251" s="72">
        <v>2.0972</v>
      </c>
      <c r="AR251" s="72">
        <v>8.4288000000000007</v>
      </c>
      <c r="AS251" s="72"/>
      <c r="AT251" s="99">
        <v>2.1</v>
      </c>
      <c r="AU251" s="7">
        <v>6720</v>
      </c>
      <c r="AV251" s="138">
        <v>3001.61</v>
      </c>
      <c r="AW251" s="143">
        <v>40</v>
      </c>
    </row>
    <row r="252" spans="1:50" ht="18.75" customHeight="1" x14ac:dyDescent="0.25">
      <c r="A252" s="404"/>
      <c r="B252" s="211" t="s">
        <v>8</v>
      </c>
      <c r="C252" s="119">
        <v>56.46</v>
      </c>
      <c r="D252" s="7">
        <v>58421.99</v>
      </c>
      <c r="E252" s="9">
        <v>64068.11</v>
      </c>
      <c r="F252" s="91">
        <v>11.2</v>
      </c>
      <c r="G252" s="7">
        <v>11589.2</v>
      </c>
      <c r="H252" s="9">
        <v>11889.96</v>
      </c>
      <c r="I252" s="96">
        <v>16.75</v>
      </c>
      <c r="J252" s="7">
        <v>21666.14</v>
      </c>
      <c r="K252" s="117">
        <v>19209.96</v>
      </c>
      <c r="L252" s="108">
        <v>11.63</v>
      </c>
      <c r="M252" s="7">
        <v>12037</v>
      </c>
      <c r="N252" s="9">
        <v>19563.68</v>
      </c>
      <c r="O252" s="102">
        <v>2.5</v>
      </c>
      <c r="P252" s="7">
        <v>1725</v>
      </c>
      <c r="Q252" s="9">
        <v>4316.9799999999996</v>
      </c>
      <c r="R252" s="102"/>
      <c r="S252" s="7"/>
      <c r="T252" s="9"/>
      <c r="U252" s="102"/>
      <c r="V252" s="7"/>
      <c r="W252" s="9"/>
      <c r="X252" s="102"/>
      <c r="Y252" s="7"/>
      <c r="Z252" s="9"/>
      <c r="AA252" s="102"/>
      <c r="AB252" s="7"/>
      <c r="AC252" s="9"/>
      <c r="AD252" s="99"/>
      <c r="AE252" s="7"/>
      <c r="AF252" s="9"/>
      <c r="AG252" s="94"/>
      <c r="AH252" s="7"/>
      <c r="AI252" s="94"/>
      <c r="AJ252" s="7"/>
      <c r="AK252" s="9"/>
      <c r="AL252" s="9"/>
      <c r="AM252" s="9">
        <v>1967.5</v>
      </c>
      <c r="AN252" s="9"/>
      <c r="AO252" s="7">
        <v>48172.28</v>
      </c>
      <c r="AP252" s="72">
        <v>3.1827999999999999</v>
      </c>
      <c r="AQ252" s="72">
        <v>2.4653999999999998</v>
      </c>
      <c r="AR252" s="72">
        <v>3.9849999999999999</v>
      </c>
      <c r="AS252" s="72"/>
      <c r="AT252" s="99">
        <v>1.3</v>
      </c>
      <c r="AU252" s="7">
        <v>3510</v>
      </c>
      <c r="AV252" s="138">
        <v>2383.2600000000002</v>
      </c>
      <c r="AW252" s="143">
        <v>141</v>
      </c>
    </row>
    <row r="253" spans="1:50" ht="18.75" customHeight="1" x14ac:dyDescent="0.25">
      <c r="A253" s="404"/>
      <c r="B253" s="211" t="s">
        <v>9</v>
      </c>
      <c r="C253" s="119">
        <v>50.61</v>
      </c>
      <c r="D253" s="7">
        <v>52368.7</v>
      </c>
      <c r="E253" s="9">
        <v>73845.52</v>
      </c>
      <c r="F253" s="91">
        <v>25.93</v>
      </c>
      <c r="G253" s="7">
        <v>26831.07</v>
      </c>
      <c r="H253" s="9">
        <v>26404.799999999999</v>
      </c>
      <c r="I253" s="96">
        <v>24.95</v>
      </c>
      <c r="J253" s="7">
        <v>32272.83</v>
      </c>
      <c r="K253" s="117">
        <v>25909.27</v>
      </c>
      <c r="L253" s="108">
        <v>10.51</v>
      </c>
      <c r="M253" s="7">
        <v>10877.85</v>
      </c>
      <c r="N253" s="9">
        <v>16091.03</v>
      </c>
      <c r="O253" s="102">
        <v>1.06</v>
      </c>
      <c r="P253" s="7">
        <v>731.4</v>
      </c>
      <c r="Q253" s="9">
        <v>3448.73</v>
      </c>
      <c r="R253" s="102"/>
      <c r="S253" s="7"/>
      <c r="T253" s="9"/>
      <c r="U253" s="102"/>
      <c r="V253" s="7"/>
      <c r="W253" s="9"/>
      <c r="X253" s="102"/>
      <c r="Y253" s="7"/>
      <c r="Z253" s="9"/>
      <c r="AA253" s="102"/>
      <c r="AB253" s="7"/>
      <c r="AC253" s="9"/>
      <c r="AD253" s="99">
        <v>2.91</v>
      </c>
      <c r="AE253" s="7">
        <v>21100.28</v>
      </c>
      <c r="AF253" s="9">
        <v>3139.03</v>
      </c>
      <c r="AG253" s="94"/>
      <c r="AH253" s="7"/>
      <c r="AI253" s="94"/>
      <c r="AJ253" s="7"/>
      <c r="AK253" s="9"/>
      <c r="AL253" s="9"/>
      <c r="AM253" s="9"/>
      <c r="AN253" s="9"/>
      <c r="AO253" s="7">
        <v>59455.49</v>
      </c>
      <c r="AP253" s="72">
        <v>4.8421000000000003</v>
      </c>
      <c r="AQ253" s="72">
        <v>2.4138999999999999</v>
      </c>
      <c r="AR253" s="72">
        <v>7.3815</v>
      </c>
      <c r="AS253" s="72"/>
      <c r="AT253" s="99">
        <v>2.84</v>
      </c>
      <c r="AU253" s="7">
        <v>7668</v>
      </c>
      <c r="AV253" s="138">
        <v>5326.11</v>
      </c>
      <c r="AW253" s="143"/>
    </row>
    <row r="254" spans="1:50" ht="18.75" customHeight="1" x14ac:dyDescent="0.25">
      <c r="A254" s="404"/>
      <c r="B254" s="211" t="s">
        <v>10</v>
      </c>
      <c r="C254" s="119">
        <v>41.99</v>
      </c>
      <c r="D254" s="7">
        <v>43499.15</v>
      </c>
      <c r="E254" s="9">
        <v>64187.81</v>
      </c>
      <c r="F254" s="91">
        <v>21.52</v>
      </c>
      <c r="G254" s="7">
        <v>22267.82</v>
      </c>
      <c r="H254" s="9">
        <v>37295.99</v>
      </c>
      <c r="I254" s="96">
        <v>16.63</v>
      </c>
      <c r="J254" s="7">
        <v>27021.23</v>
      </c>
      <c r="K254" s="117">
        <v>22280.560000000001</v>
      </c>
      <c r="L254" s="108">
        <v>5.79</v>
      </c>
      <c r="M254" s="7">
        <v>5992.65</v>
      </c>
      <c r="N254" s="9">
        <v>11729.19</v>
      </c>
      <c r="O254" s="102">
        <v>2.69</v>
      </c>
      <c r="P254" s="7">
        <v>1856.1</v>
      </c>
      <c r="Q254" s="9">
        <v>6897.47</v>
      </c>
      <c r="R254" s="102"/>
      <c r="S254" s="7"/>
      <c r="T254" s="9"/>
      <c r="U254" s="102"/>
      <c r="V254" s="7"/>
      <c r="W254" s="9"/>
      <c r="X254" s="102"/>
      <c r="Y254" s="7"/>
      <c r="Z254" s="9"/>
      <c r="AA254" s="102"/>
      <c r="AB254" s="7"/>
      <c r="AC254" s="9"/>
      <c r="AD254" s="99"/>
      <c r="AE254" s="7"/>
      <c r="AF254" s="9"/>
      <c r="AG254" s="94"/>
      <c r="AH254" s="7"/>
      <c r="AI254" s="94"/>
      <c r="AJ254" s="7"/>
      <c r="AK254" s="9"/>
      <c r="AL254" s="9"/>
      <c r="AM254" s="9"/>
      <c r="AN254" s="9">
        <v>92642</v>
      </c>
      <c r="AO254" s="7">
        <v>54388.51</v>
      </c>
      <c r="AP254" s="72">
        <v>4.0701999999999998</v>
      </c>
      <c r="AQ254" s="72">
        <v>2.3801999999999999</v>
      </c>
      <c r="AR254" s="72">
        <v>5.3402000000000003</v>
      </c>
      <c r="AS254" s="72"/>
      <c r="AT254" s="99">
        <v>1.48</v>
      </c>
      <c r="AU254" s="7">
        <v>4736</v>
      </c>
      <c r="AV254" s="138">
        <v>2493.31</v>
      </c>
      <c r="AW254" s="143">
        <v>360</v>
      </c>
    </row>
    <row r="255" spans="1:50" ht="18.75" customHeight="1" x14ac:dyDescent="0.25">
      <c r="A255" s="404"/>
      <c r="B255" s="211" t="s">
        <v>11</v>
      </c>
      <c r="C255" s="119">
        <v>37.28</v>
      </c>
      <c r="D255" s="7">
        <v>38575.480000000003</v>
      </c>
      <c r="E255" s="9">
        <v>55562.94</v>
      </c>
      <c r="F255" s="91">
        <v>20.57</v>
      </c>
      <c r="G255" s="7">
        <v>21284.81</v>
      </c>
      <c r="H255" s="9">
        <v>21617.35</v>
      </c>
      <c r="I255" s="96">
        <v>27.37</v>
      </c>
      <c r="J255" s="7">
        <v>35403.11</v>
      </c>
      <c r="K255" s="117">
        <v>31022.74</v>
      </c>
      <c r="L255" s="108">
        <v>9.1</v>
      </c>
      <c r="M255" s="7">
        <v>9418.5</v>
      </c>
      <c r="N255" s="9">
        <v>16280.32</v>
      </c>
      <c r="O255" s="102">
        <v>0.78</v>
      </c>
      <c r="P255" s="7">
        <v>538.20000000000005</v>
      </c>
      <c r="Q255" s="9">
        <v>3448.73</v>
      </c>
      <c r="R255" s="102"/>
      <c r="S255" s="7"/>
      <c r="T255" s="9"/>
      <c r="U255" s="102"/>
      <c r="V255" s="7"/>
      <c r="W255" s="9"/>
      <c r="X255" s="102"/>
      <c r="Y255" s="7"/>
      <c r="Z255" s="9"/>
      <c r="AA255" s="102"/>
      <c r="AB255" s="7"/>
      <c r="AC255" s="9"/>
      <c r="AD255" s="99">
        <v>0.98899999999999999</v>
      </c>
      <c r="AE255" s="7">
        <v>9518.3700000000008</v>
      </c>
      <c r="AF255" s="9">
        <v>2023.12</v>
      </c>
      <c r="AG255" s="94"/>
      <c r="AH255" s="7"/>
      <c r="AI255" s="94"/>
      <c r="AJ255" s="7"/>
      <c r="AK255" s="9"/>
      <c r="AL255" s="9"/>
      <c r="AM255" s="9">
        <v>1219</v>
      </c>
      <c r="AN255" s="9"/>
      <c r="AO255" s="7">
        <v>62565.63</v>
      </c>
      <c r="AP255" s="72">
        <v>3.1585000000000001</v>
      </c>
      <c r="AQ255" s="72">
        <v>3.0602</v>
      </c>
      <c r="AR255" s="72">
        <v>10.316000000000001</v>
      </c>
      <c r="AS255" s="72"/>
      <c r="AT255" s="99">
        <v>1.64</v>
      </c>
      <c r="AU255" s="7">
        <v>5740</v>
      </c>
      <c r="AV255" s="138">
        <v>2832.79</v>
      </c>
      <c r="AW255" s="143">
        <v>60</v>
      </c>
    </row>
    <row r="256" spans="1:50" ht="18.75" customHeight="1" x14ac:dyDescent="0.25">
      <c r="A256" s="404"/>
      <c r="B256" s="211" t="s">
        <v>12</v>
      </c>
      <c r="C256" s="119">
        <v>35.76</v>
      </c>
      <c r="D256" s="7">
        <v>37002.660000000003</v>
      </c>
      <c r="E256" s="9">
        <v>50744.21</v>
      </c>
      <c r="F256" s="91">
        <v>11.43</v>
      </c>
      <c r="G256" s="7">
        <v>11827.15</v>
      </c>
      <c r="H256" s="9">
        <v>13802.18</v>
      </c>
      <c r="I256" s="96">
        <v>26.65</v>
      </c>
      <c r="J256" s="7">
        <v>34471</v>
      </c>
      <c r="K256" s="117">
        <v>32609.97</v>
      </c>
      <c r="L256" s="108">
        <v>12.02</v>
      </c>
      <c r="M256" s="7">
        <v>11742.42</v>
      </c>
      <c r="N256" s="9">
        <v>20683.439999999999</v>
      </c>
      <c r="O256" s="102">
        <v>4.7699999999999996</v>
      </c>
      <c r="P256" s="7">
        <v>3291.3</v>
      </c>
      <c r="Q256" s="9">
        <v>13655.9</v>
      </c>
      <c r="R256" s="102"/>
      <c r="S256" s="7"/>
      <c r="T256" s="9"/>
      <c r="U256" s="102"/>
      <c r="V256" s="7"/>
      <c r="W256" s="9"/>
      <c r="X256" s="102"/>
      <c r="Y256" s="7"/>
      <c r="Z256" s="9"/>
      <c r="AA256" s="102"/>
      <c r="AB256" s="7"/>
      <c r="AC256" s="9"/>
      <c r="AD256" s="99">
        <v>1.0089999999999999</v>
      </c>
      <c r="AE256" s="7">
        <v>10913.77</v>
      </c>
      <c r="AF256" s="9">
        <v>1867.6</v>
      </c>
      <c r="AG256" s="94"/>
      <c r="AH256" s="7"/>
      <c r="AI256" s="94"/>
      <c r="AJ256" s="7"/>
      <c r="AK256" s="9"/>
      <c r="AL256" s="9"/>
      <c r="AM256" s="9"/>
      <c r="AN256" s="9">
        <v>104737</v>
      </c>
      <c r="AO256" s="7">
        <v>54021.37</v>
      </c>
      <c r="AP256" s="72">
        <v>3.9836999999999998</v>
      </c>
      <c r="AQ256" s="72">
        <v>2.1797</v>
      </c>
      <c r="AR256" s="72">
        <v>4.5419999999999998</v>
      </c>
      <c r="AS256" s="72"/>
      <c r="AT256" s="99">
        <v>1.68</v>
      </c>
      <c r="AU256" s="7">
        <v>5880</v>
      </c>
      <c r="AV256" s="138">
        <v>2373.94</v>
      </c>
      <c r="AW256" s="143"/>
    </row>
    <row r="257" spans="1:50" ht="18.75" customHeight="1" x14ac:dyDescent="0.25">
      <c r="A257" s="404"/>
      <c r="B257" s="211" t="s">
        <v>13</v>
      </c>
      <c r="C257" s="119">
        <v>30.37</v>
      </c>
      <c r="D257" s="7">
        <v>31425.360000000001</v>
      </c>
      <c r="E257" s="9">
        <v>47172.19</v>
      </c>
      <c r="F257" s="91">
        <v>23.69</v>
      </c>
      <c r="G257" s="7">
        <v>24513.23</v>
      </c>
      <c r="H257" s="9">
        <v>23804.19</v>
      </c>
      <c r="I257" s="96">
        <v>16.489999999999998</v>
      </c>
      <c r="J257" s="7">
        <v>21329.82</v>
      </c>
      <c r="K257" s="117">
        <v>30840.125</v>
      </c>
      <c r="L257" s="108">
        <v>10.199</v>
      </c>
      <c r="M257" s="7">
        <v>10555.97</v>
      </c>
      <c r="N257" s="9">
        <v>12556.5</v>
      </c>
      <c r="O257" s="102">
        <v>1.6</v>
      </c>
      <c r="P257" s="7">
        <v>989</v>
      </c>
      <c r="Q257" s="9">
        <v>3399.28</v>
      </c>
      <c r="R257" s="102"/>
      <c r="S257" s="7"/>
      <c r="T257" s="9"/>
      <c r="U257" s="102"/>
      <c r="V257" s="7"/>
      <c r="W257" s="9"/>
      <c r="X257" s="102"/>
      <c r="Y257" s="7"/>
      <c r="Z257" s="9"/>
      <c r="AA257" s="102">
        <v>0.94</v>
      </c>
      <c r="AB257" s="7">
        <v>2161.06</v>
      </c>
      <c r="AC257" s="9">
        <v>3448.73</v>
      </c>
      <c r="AD257" s="99">
        <v>1.206</v>
      </c>
      <c r="AE257" s="7">
        <v>13805.17</v>
      </c>
      <c r="AF257" s="9">
        <v>1867.6</v>
      </c>
      <c r="AG257" s="94"/>
      <c r="AH257" s="7"/>
      <c r="AI257" s="94"/>
      <c r="AJ257" s="7"/>
      <c r="AK257" s="9"/>
      <c r="AL257" s="9"/>
      <c r="AM257" s="9"/>
      <c r="AN257" s="145"/>
      <c r="AO257" s="7">
        <v>35306.769999999997</v>
      </c>
      <c r="AP257" s="72">
        <v>2.5928</v>
      </c>
      <c r="AQ257" s="72">
        <v>2.34</v>
      </c>
      <c r="AR257" s="72">
        <v>4.2512999999999996</v>
      </c>
      <c r="AS257" s="72"/>
      <c r="AT257" s="99">
        <v>1.84</v>
      </c>
      <c r="AU257" s="7">
        <v>6440</v>
      </c>
      <c r="AV257" s="138">
        <v>2952.16</v>
      </c>
      <c r="AW257" s="143">
        <v>212</v>
      </c>
    </row>
    <row r="258" spans="1:50" ht="18.75" customHeight="1" thickBot="1" x14ac:dyDescent="0.3">
      <c r="A258" s="404"/>
      <c r="B258" s="212" t="s">
        <v>14</v>
      </c>
      <c r="C258" s="120">
        <v>17.93</v>
      </c>
      <c r="D258" s="88">
        <v>18553.07</v>
      </c>
      <c r="E258" s="89">
        <v>33282.49</v>
      </c>
      <c r="F258" s="92">
        <v>3.33</v>
      </c>
      <c r="G258" s="88">
        <v>3445.71</v>
      </c>
      <c r="H258" s="89">
        <v>3944.27</v>
      </c>
      <c r="I258" s="97">
        <v>14.53</v>
      </c>
      <c r="J258" s="88">
        <v>18794.560000000001</v>
      </c>
      <c r="K258" s="121">
        <v>21802.62</v>
      </c>
      <c r="L258" s="109"/>
      <c r="M258" s="88"/>
      <c r="N258" s="89"/>
      <c r="O258" s="103"/>
      <c r="P258" s="88"/>
      <c r="Q258" s="89"/>
      <c r="R258" s="103"/>
      <c r="S258" s="88"/>
      <c r="T258" s="89"/>
      <c r="U258" s="103"/>
      <c r="V258" s="88"/>
      <c r="W258" s="89"/>
      <c r="X258" s="103"/>
      <c r="Y258" s="88"/>
      <c r="Z258" s="89"/>
      <c r="AA258" s="103"/>
      <c r="AB258" s="88"/>
      <c r="AC258" s="89"/>
      <c r="AD258" s="100">
        <v>1.798</v>
      </c>
      <c r="AE258" s="88">
        <v>19572.98</v>
      </c>
      <c r="AF258" s="89">
        <v>4034.2</v>
      </c>
      <c r="AG258" s="95"/>
      <c r="AH258" s="62"/>
      <c r="AI258" s="95"/>
      <c r="AJ258" s="88"/>
      <c r="AK258" s="89"/>
      <c r="AL258" s="65"/>
      <c r="AM258" s="65"/>
      <c r="AN258" s="65"/>
      <c r="AO258" s="62">
        <v>76821.97</v>
      </c>
      <c r="AP258" s="73">
        <v>3.4577</v>
      </c>
      <c r="AQ258" s="73">
        <v>3.4397000000000002</v>
      </c>
      <c r="AR258" s="73">
        <v>5.0414000000000003</v>
      </c>
      <c r="AS258" s="73"/>
      <c r="AT258" s="100">
        <v>1.02</v>
      </c>
      <c r="AU258" s="88">
        <v>4284</v>
      </c>
      <c r="AV258" s="139">
        <v>2493.31</v>
      </c>
      <c r="AW258" s="144"/>
    </row>
    <row r="259" spans="1:50" ht="18.75" customHeight="1" thickBot="1" x14ac:dyDescent="0.3">
      <c r="A259" s="404"/>
      <c r="B259" s="213" t="s">
        <v>15</v>
      </c>
      <c r="C259" s="122">
        <f t="shared" ref="C259:V259" si="52">SUM(C247:C258)</f>
        <v>477.63000000000005</v>
      </c>
      <c r="D259" s="124">
        <f t="shared" si="52"/>
        <v>494277.65000000008</v>
      </c>
      <c r="E259" s="124">
        <f t="shared" si="52"/>
        <v>625459.03</v>
      </c>
      <c r="F259" s="123">
        <f t="shared" si="52"/>
        <v>202.66000000000003</v>
      </c>
      <c r="G259" s="124">
        <f t="shared" si="52"/>
        <v>209712.73</v>
      </c>
      <c r="H259" s="124">
        <f t="shared" si="52"/>
        <v>254638.07999999996</v>
      </c>
      <c r="I259" s="123">
        <f t="shared" si="52"/>
        <v>216.22000000000003</v>
      </c>
      <c r="J259" s="124">
        <f t="shared" si="52"/>
        <v>285190.18</v>
      </c>
      <c r="K259" s="157">
        <f t="shared" si="52"/>
        <v>276651.375</v>
      </c>
      <c r="L259" s="158">
        <f t="shared" si="52"/>
        <v>68.819000000000003</v>
      </c>
      <c r="M259" s="67">
        <f t="shared" si="52"/>
        <v>70529.34</v>
      </c>
      <c r="N259" s="67">
        <f t="shared" si="52"/>
        <v>125924.17000000001</v>
      </c>
      <c r="O259" s="159">
        <f t="shared" si="52"/>
        <v>13.4</v>
      </c>
      <c r="P259" s="67">
        <f t="shared" si="52"/>
        <v>9131</v>
      </c>
      <c r="Q259" s="67">
        <f t="shared" si="52"/>
        <v>35167.089999999997</v>
      </c>
      <c r="R259" s="69">
        <f t="shared" si="52"/>
        <v>0</v>
      </c>
      <c r="S259" s="67">
        <f t="shared" si="52"/>
        <v>0</v>
      </c>
      <c r="T259" s="67">
        <f t="shared" si="52"/>
        <v>0</v>
      </c>
      <c r="U259" s="69">
        <f t="shared" si="52"/>
        <v>0</v>
      </c>
      <c r="V259" s="67">
        <f t="shared" si="52"/>
        <v>0</v>
      </c>
      <c r="W259" s="67">
        <f>SUM(W247:W258)</f>
        <v>0</v>
      </c>
      <c r="X259" s="69">
        <f t="shared" ref="X259:AD259" si="53">SUM(X247:X258)</f>
        <v>0</v>
      </c>
      <c r="Y259" s="67">
        <f t="shared" si="53"/>
        <v>0</v>
      </c>
      <c r="Z259" s="67">
        <f t="shared" si="53"/>
        <v>0</v>
      </c>
      <c r="AA259" s="69">
        <f t="shared" si="53"/>
        <v>2.19</v>
      </c>
      <c r="AB259" s="67">
        <f t="shared" si="53"/>
        <v>4944.0599999999995</v>
      </c>
      <c r="AC259" s="67">
        <f t="shared" si="53"/>
        <v>6798.5599999999995</v>
      </c>
      <c r="AD259" s="68">
        <f t="shared" si="53"/>
        <v>7.911999999999999</v>
      </c>
      <c r="AE259" s="67">
        <f>SUM(AE247:AE258)</f>
        <v>74910.569999999992</v>
      </c>
      <c r="AF259" s="67">
        <f>SUM(AF247:AF258)</f>
        <v>12931.55</v>
      </c>
      <c r="AG259" s="68">
        <f t="shared" ref="AG259:AH259" si="54">SUM(AG247:AG258)</f>
        <v>0</v>
      </c>
      <c r="AH259" s="67">
        <f t="shared" si="54"/>
        <v>0</v>
      </c>
      <c r="AI259" s="68">
        <f t="shared" ref="AI259:AK259" si="55">SUM(AI247:AI258)</f>
        <v>0</v>
      </c>
      <c r="AJ259" s="173">
        <f t="shared" si="55"/>
        <v>0</v>
      </c>
      <c r="AK259" s="174">
        <f t="shared" si="55"/>
        <v>0</v>
      </c>
      <c r="AL259" s="71"/>
      <c r="AM259" s="71">
        <f t="shared" ref="AM259:AS259" si="56">SUM(AM247:AM258)</f>
        <v>6064.1</v>
      </c>
      <c r="AN259" s="71">
        <f t="shared" si="56"/>
        <v>332757</v>
      </c>
      <c r="AO259" s="67">
        <f t="shared" si="56"/>
        <v>549864.98</v>
      </c>
      <c r="AP259" s="74">
        <f t="shared" si="56"/>
        <v>39.228000000000002</v>
      </c>
      <c r="AQ259" s="74">
        <f t="shared" si="56"/>
        <v>27.4298</v>
      </c>
      <c r="AR259" s="74">
        <f t="shared" si="56"/>
        <v>66.932500000000005</v>
      </c>
      <c r="AS259" s="74">
        <f t="shared" si="56"/>
        <v>0</v>
      </c>
      <c r="AT259" s="68">
        <f t="shared" ref="AT259:AU259" si="57">SUM(AT247:AT258)</f>
        <v>19.220000000000002</v>
      </c>
      <c r="AU259" s="67">
        <f t="shared" si="57"/>
        <v>62658</v>
      </c>
      <c r="AV259" s="140">
        <f>SUM(AV247:AV258)</f>
        <v>33549.03</v>
      </c>
      <c r="AW259" s="136">
        <f t="shared" ref="AW259" si="58">SUM(AW247:AW258)</f>
        <v>2097</v>
      </c>
    </row>
    <row r="260" spans="1:50" ht="18.75" customHeight="1" thickBot="1" x14ac:dyDescent="0.3">
      <c r="A260" s="404"/>
      <c r="B260" s="200"/>
      <c r="C260" s="156"/>
      <c r="D260" s="380">
        <f>SUM(E259+D259)</f>
        <v>1119736.6800000002</v>
      </c>
      <c r="E260" s="381"/>
      <c r="F260" s="156"/>
      <c r="G260" s="380">
        <f>SUM(H259+G259)</f>
        <v>464350.80999999994</v>
      </c>
      <c r="H260" s="381"/>
      <c r="I260" s="156"/>
      <c r="J260" s="380">
        <f>SUM(K259+J259)</f>
        <v>561841.55499999993</v>
      </c>
      <c r="K260" s="381"/>
      <c r="L260" s="160"/>
      <c r="M260" s="380">
        <f>SUM(N259+M259)</f>
        <v>196453.51</v>
      </c>
      <c r="N260" s="381"/>
      <c r="O260" s="160"/>
      <c r="P260" s="380">
        <f>SUM(Q259+P259)</f>
        <v>44298.09</v>
      </c>
      <c r="Q260" s="381"/>
      <c r="R260" s="160"/>
      <c r="S260" s="380">
        <f>SUM(T259+S259)</f>
        <v>0</v>
      </c>
      <c r="T260" s="381"/>
      <c r="U260" s="160"/>
      <c r="V260" s="380">
        <f>SUM(W259+V259)</f>
        <v>0</v>
      </c>
      <c r="W260" s="381"/>
      <c r="X260" s="160"/>
      <c r="Y260" s="380">
        <f>SUM(Z259+Y259)</f>
        <v>0</v>
      </c>
      <c r="Z260" s="381"/>
      <c r="AA260" s="160"/>
      <c r="AB260" s="380">
        <f>SUM(AC259+AB259)</f>
        <v>11742.619999999999</v>
      </c>
      <c r="AC260" s="381"/>
      <c r="AD260" s="162"/>
      <c r="AE260" s="380">
        <f>SUM(AF259+AE259)</f>
        <v>87842.12</v>
      </c>
      <c r="AF260" s="381"/>
      <c r="AG260" s="161"/>
      <c r="AH260" s="124"/>
      <c r="AI260" s="169"/>
      <c r="AJ260" s="171"/>
      <c r="AK260" s="172"/>
      <c r="AL260" s="170"/>
      <c r="AM260" s="127"/>
      <c r="AN260" s="127"/>
      <c r="AO260" s="124"/>
      <c r="AP260" s="128"/>
      <c r="AQ260" s="128"/>
      <c r="AR260" s="129"/>
      <c r="AS260" s="130"/>
      <c r="AT260" s="126"/>
      <c r="AU260" s="124"/>
      <c r="AV260" s="125"/>
      <c r="AW260" s="148"/>
    </row>
    <row r="261" spans="1:50" ht="18.75" customHeight="1" thickBot="1" x14ac:dyDescent="0.3">
      <c r="A261" s="411"/>
      <c r="B261" s="192"/>
      <c r="C261" s="182"/>
      <c r="D261" s="193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  <c r="AB261" s="177"/>
      <c r="AC261" s="177"/>
      <c r="AD261" s="177"/>
      <c r="AE261" s="177"/>
      <c r="AF261" s="177"/>
      <c r="AG261" s="177"/>
      <c r="AH261" s="177"/>
      <c r="AI261" s="177"/>
      <c r="AJ261" s="177"/>
      <c r="AK261" s="177"/>
      <c r="AL261" s="154"/>
      <c r="AM261" s="154"/>
      <c r="AN261" s="154"/>
      <c r="AO261" s="151"/>
      <c r="AP261" s="155"/>
      <c r="AQ261" s="155"/>
      <c r="AR261" s="155"/>
      <c r="AS261" s="155"/>
      <c r="AT261" s="152"/>
      <c r="AU261" s="151"/>
      <c r="AV261" s="151"/>
      <c r="AW261" s="133"/>
      <c r="AX261" s="133"/>
    </row>
    <row r="262" spans="1:50" ht="18.75" customHeight="1" x14ac:dyDescent="0.35">
      <c r="A262" s="411"/>
      <c r="B262" s="356" t="s">
        <v>212</v>
      </c>
      <c r="C262" s="356"/>
      <c r="D262" s="356"/>
      <c r="E262" s="356"/>
      <c r="F262" s="35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  <c r="AB262" s="177"/>
      <c r="AC262" s="177"/>
      <c r="AD262" s="177"/>
      <c r="AE262" s="177"/>
      <c r="AF262" s="177"/>
      <c r="AG262" s="177"/>
      <c r="AH262" s="177"/>
      <c r="AI262" s="177"/>
      <c r="AJ262" s="177"/>
      <c r="AK262" s="177"/>
      <c r="AL262" s="154"/>
      <c r="AM262" s="154"/>
      <c r="AN262" s="154"/>
      <c r="AO262" s="151"/>
      <c r="AP262" s="155"/>
      <c r="AQ262" s="155"/>
      <c r="AR262" s="155"/>
      <c r="AS262" s="155"/>
      <c r="AT262" s="152"/>
      <c r="AU262" s="151"/>
      <c r="AV262" s="151"/>
      <c r="AW262" s="133"/>
      <c r="AX262" s="133"/>
    </row>
    <row r="263" spans="1:50" ht="18.75" customHeight="1" x14ac:dyDescent="0.3">
      <c r="A263" s="411"/>
      <c r="B263" s="201" t="s">
        <v>183</v>
      </c>
      <c r="C263" s="6"/>
      <c r="D263" s="6"/>
      <c r="E263" s="6"/>
      <c r="F263" s="8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  <c r="AB263" s="177"/>
      <c r="AC263" s="177"/>
      <c r="AD263" s="177"/>
      <c r="AE263" s="177"/>
      <c r="AF263" s="177"/>
      <c r="AG263" s="177"/>
      <c r="AH263" s="177"/>
      <c r="AI263" s="177"/>
      <c r="AJ263" s="177"/>
      <c r="AK263" s="177"/>
      <c r="AL263" s="154"/>
      <c r="AM263" s="154"/>
      <c r="AN263" s="154"/>
      <c r="AO263" s="151"/>
      <c r="AP263" s="155"/>
      <c r="AQ263" s="155"/>
      <c r="AR263" s="155"/>
      <c r="AS263" s="155"/>
      <c r="AT263" s="152"/>
      <c r="AU263" s="151"/>
      <c r="AV263" s="151"/>
      <c r="AW263" s="133"/>
      <c r="AX263" s="133"/>
    </row>
    <row r="264" spans="1:50" ht="18.75" customHeight="1" x14ac:dyDescent="0.25">
      <c r="A264" s="411"/>
      <c r="B264" s="202" t="s">
        <v>0</v>
      </c>
      <c r="C264" s="204" t="s">
        <v>213</v>
      </c>
      <c r="D264" s="204" t="s">
        <v>214</v>
      </c>
      <c r="E264" s="204" t="s">
        <v>170</v>
      </c>
      <c r="F264" s="205" t="s">
        <v>215</v>
      </c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  <c r="AB264" s="177"/>
      <c r="AC264" s="177"/>
      <c r="AD264" s="177"/>
      <c r="AE264" s="177"/>
      <c r="AF264" s="177"/>
      <c r="AG264" s="177"/>
      <c r="AH264" s="177"/>
      <c r="AI264" s="177"/>
      <c r="AJ264" s="177"/>
      <c r="AK264" s="177"/>
      <c r="AL264" s="154"/>
      <c r="AM264" s="154"/>
      <c r="AN264" s="154"/>
      <c r="AO264" s="151"/>
      <c r="AP264" s="155"/>
      <c r="AQ264" s="155"/>
      <c r="AR264" s="155"/>
      <c r="AS264" s="155"/>
      <c r="AT264" s="152"/>
      <c r="AU264" s="151"/>
      <c r="AV264" s="151"/>
      <c r="AW264" s="133"/>
      <c r="AX264" s="133"/>
    </row>
    <row r="265" spans="1:50" ht="18.75" customHeight="1" thickBot="1" x14ac:dyDescent="0.3">
      <c r="A265" s="411"/>
      <c r="B265" s="203"/>
      <c r="C265" s="17"/>
      <c r="D265" s="18" t="s">
        <v>2</v>
      </c>
      <c r="E265" s="18" t="s">
        <v>1</v>
      </c>
      <c r="F265" s="78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7"/>
      <c r="AF265" s="177"/>
      <c r="AG265" s="177"/>
      <c r="AH265" s="177"/>
      <c r="AI265" s="177"/>
      <c r="AJ265" s="177"/>
      <c r="AK265" s="177"/>
      <c r="AL265" s="154"/>
      <c r="AM265" s="154"/>
      <c r="AN265" s="154"/>
      <c r="AO265" s="151"/>
      <c r="AP265" s="155"/>
      <c r="AQ265" s="155"/>
      <c r="AR265" s="155"/>
      <c r="AS265" s="155"/>
      <c r="AT265" s="152"/>
      <c r="AU265" s="151"/>
      <c r="AV265" s="151"/>
      <c r="AW265" s="133"/>
      <c r="AX265" s="133"/>
    </row>
    <row r="266" spans="1:50" ht="18.75" customHeight="1" thickBot="1" x14ac:dyDescent="0.3">
      <c r="A266" s="411"/>
      <c r="B266" s="206" t="s">
        <v>3</v>
      </c>
      <c r="C266" s="2">
        <v>33.64</v>
      </c>
      <c r="D266" s="124">
        <v>80317.509999999995</v>
      </c>
      <c r="E266" s="124">
        <v>88154.9</v>
      </c>
      <c r="F266" s="4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  <c r="AB266" s="177"/>
      <c r="AC266" s="177"/>
      <c r="AD266" s="177"/>
      <c r="AE266" s="177"/>
      <c r="AF266" s="177"/>
      <c r="AG266" s="177"/>
      <c r="AH266" s="177"/>
      <c r="AI266" s="177"/>
      <c r="AJ266" s="177"/>
      <c r="AK266" s="177"/>
      <c r="AL266" s="154"/>
      <c r="AM266" s="154"/>
      <c r="AN266" s="154"/>
      <c r="AO266" s="151"/>
      <c r="AP266" s="155"/>
      <c r="AQ266" s="155"/>
      <c r="AR266" s="155"/>
      <c r="AS266" s="155"/>
      <c r="AT266" s="152"/>
      <c r="AU266" s="151"/>
      <c r="AV266" s="151"/>
      <c r="AW266" s="133"/>
      <c r="AX266" s="133"/>
    </row>
    <row r="267" spans="1:50" ht="18.75" customHeight="1" thickBot="1" x14ac:dyDescent="0.3">
      <c r="A267" s="411"/>
      <c r="B267" s="207" t="s">
        <v>4</v>
      </c>
      <c r="C267" s="2">
        <v>30.28</v>
      </c>
      <c r="D267" s="124">
        <v>31332.23</v>
      </c>
      <c r="E267" s="7">
        <v>86038.9</v>
      </c>
      <c r="F267" s="8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  <c r="AB267" s="177"/>
      <c r="AC267" s="177"/>
      <c r="AD267" s="177"/>
      <c r="AE267" s="177"/>
      <c r="AF267" s="177"/>
      <c r="AG267" s="177"/>
      <c r="AH267" s="177"/>
      <c r="AI267" s="177"/>
      <c r="AJ267" s="177"/>
      <c r="AK267" s="177"/>
      <c r="AL267" s="154"/>
      <c r="AM267" s="154"/>
      <c r="AN267" s="154"/>
      <c r="AO267" s="151"/>
      <c r="AP267" s="155"/>
      <c r="AQ267" s="155"/>
      <c r="AR267" s="155"/>
      <c r="AS267" s="155"/>
      <c r="AT267" s="152"/>
      <c r="AU267" s="151"/>
      <c r="AV267" s="151"/>
      <c r="AW267" s="133"/>
      <c r="AX267" s="133"/>
    </row>
    <row r="268" spans="1:50" ht="18.75" customHeight="1" thickBot="1" x14ac:dyDescent="0.3">
      <c r="A268" s="411"/>
      <c r="B268" s="207" t="s">
        <v>5</v>
      </c>
      <c r="C268" s="2">
        <v>42.66</v>
      </c>
      <c r="D268" s="124">
        <v>44132.05</v>
      </c>
      <c r="E268" s="7">
        <v>108884.1</v>
      </c>
      <c r="F268" s="8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  <c r="AB268" s="177"/>
      <c r="AC268" s="177"/>
      <c r="AD268" s="177"/>
      <c r="AE268" s="177"/>
      <c r="AF268" s="177"/>
      <c r="AG268" s="177"/>
      <c r="AH268" s="177"/>
      <c r="AI268" s="177"/>
      <c r="AJ268" s="177"/>
      <c r="AK268" s="177"/>
      <c r="AL268" s="154"/>
      <c r="AM268" s="154"/>
      <c r="AN268" s="154"/>
      <c r="AO268" s="151"/>
      <c r="AP268" s="155"/>
      <c r="AQ268" s="155"/>
      <c r="AR268" s="155"/>
      <c r="AS268" s="155"/>
      <c r="AT268" s="152"/>
      <c r="AU268" s="151"/>
      <c r="AV268" s="151"/>
      <c r="AW268" s="133"/>
      <c r="AX268" s="133"/>
    </row>
    <row r="269" spans="1:50" ht="18.75" customHeight="1" thickBot="1" x14ac:dyDescent="0.3">
      <c r="A269" s="411"/>
      <c r="B269" s="207" t="s">
        <v>6</v>
      </c>
      <c r="C269" s="2">
        <v>41.66</v>
      </c>
      <c r="D269" s="124">
        <v>43107.69</v>
      </c>
      <c r="E269" s="7">
        <v>88152</v>
      </c>
      <c r="F269" s="8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  <c r="AB269" s="177"/>
      <c r="AC269" s="177"/>
      <c r="AD269" s="177"/>
      <c r="AE269" s="177"/>
      <c r="AF269" s="177"/>
      <c r="AG269" s="177"/>
      <c r="AH269" s="177"/>
      <c r="AI269" s="177"/>
      <c r="AJ269" s="177"/>
      <c r="AK269" s="177"/>
      <c r="AL269" s="154"/>
      <c r="AM269" s="154"/>
      <c r="AN269" s="154"/>
      <c r="AO269" s="151"/>
      <c r="AP269" s="155"/>
      <c r="AQ269" s="155"/>
      <c r="AR269" s="155"/>
      <c r="AS269" s="155"/>
      <c r="AT269" s="152"/>
      <c r="AU269" s="151"/>
      <c r="AV269" s="151"/>
      <c r="AW269" s="133"/>
      <c r="AX269" s="133"/>
    </row>
    <row r="270" spans="1:50" ht="18.75" customHeight="1" thickBot="1" x14ac:dyDescent="0.3">
      <c r="A270" s="411"/>
      <c r="B270" s="207" t="s">
        <v>7</v>
      </c>
      <c r="C270" s="2">
        <v>41.85</v>
      </c>
      <c r="D270" s="124">
        <v>43304.29</v>
      </c>
      <c r="E270" s="7">
        <v>91274.2</v>
      </c>
      <c r="F270" s="8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  <c r="AB270" s="177"/>
      <c r="AC270" s="177"/>
      <c r="AD270" s="177"/>
      <c r="AE270" s="177"/>
      <c r="AF270" s="177"/>
      <c r="AG270" s="177"/>
      <c r="AH270" s="177"/>
      <c r="AI270" s="177"/>
      <c r="AJ270" s="177"/>
      <c r="AK270" s="177"/>
      <c r="AL270" s="154"/>
      <c r="AM270" s="154"/>
      <c r="AN270" s="154"/>
      <c r="AO270" s="151"/>
      <c r="AP270" s="155"/>
      <c r="AQ270" s="155"/>
      <c r="AR270" s="155"/>
      <c r="AS270" s="155"/>
      <c r="AT270" s="152"/>
      <c r="AU270" s="151"/>
      <c r="AV270" s="151"/>
      <c r="AW270" s="133"/>
      <c r="AX270" s="133"/>
    </row>
    <row r="271" spans="1:50" ht="18.75" customHeight="1" thickBot="1" x14ac:dyDescent="0.3">
      <c r="A271" s="411"/>
      <c r="B271" s="207" t="s">
        <v>8</v>
      </c>
      <c r="C271" s="2">
        <v>45.16</v>
      </c>
      <c r="D271" s="124">
        <v>46729.31</v>
      </c>
      <c r="E271" s="7">
        <v>109240.2</v>
      </c>
      <c r="F271" s="8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77"/>
      <c r="AK271" s="177"/>
      <c r="AL271" s="154"/>
      <c r="AM271" s="154"/>
      <c r="AN271" s="154"/>
      <c r="AO271" s="151"/>
      <c r="AP271" s="155"/>
      <c r="AQ271" s="155"/>
      <c r="AR271" s="155"/>
      <c r="AS271" s="155"/>
      <c r="AT271" s="152"/>
      <c r="AU271" s="151"/>
      <c r="AV271" s="151"/>
      <c r="AW271" s="133"/>
      <c r="AX271" s="133"/>
    </row>
    <row r="272" spans="1:50" ht="18.75" customHeight="1" thickBot="1" x14ac:dyDescent="0.3">
      <c r="A272" s="411"/>
      <c r="B272" s="207" t="s">
        <v>9</v>
      </c>
      <c r="C272" s="2">
        <v>49.57</v>
      </c>
      <c r="D272" s="124">
        <v>51292.56</v>
      </c>
      <c r="E272" s="7">
        <v>95126</v>
      </c>
      <c r="F272" s="8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77"/>
      <c r="AF272" s="177"/>
      <c r="AG272" s="177"/>
      <c r="AH272" s="177"/>
      <c r="AI272" s="177"/>
      <c r="AJ272" s="177"/>
      <c r="AK272" s="177"/>
      <c r="AL272" s="154"/>
      <c r="AM272" s="154"/>
      <c r="AN272" s="154"/>
      <c r="AO272" s="151"/>
      <c r="AP272" s="155"/>
      <c r="AQ272" s="155"/>
      <c r="AR272" s="155"/>
      <c r="AS272" s="155"/>
      <c r="AT272" s="152"/>
      <c r="AU272" s="151"/>
      <c r="AV272" s="151"/>
      <c r="AW272" s="133"/>
      <c r="AX272" s="133"/>
    </row>
    <row r="273" spans="1:51" ht="18.75" customHeight="1" thickBot="1" x14ac:dyDescent="0.3">
      <c r="A273" s="411"/>
      <c r="B273" s="207" t="s">
        <v>10</v>
      </c>
      <c r="C273" s="2">
        <v>52.46</v>
      </c>
      <c r="D273" s="124">
        <v>54282.99</v>
      </c>
      <c r="E273" s="7">
        <v>104352.2</v>
      </c>
      <c r="F273" s="8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  <c r="AB273" s="177"/>
      <c r="AC273" s="177"/>
      <c r="AD273" s="177"/>
      <c r="AE273" s="177"/>
      <c r="AF273" s="177"/>
      <c r="AG273" s="177"/>
      <c r="AH273" s="177"/>
      <c r="AI273" s="177"/>
      <c r="AJ273" s="177"/>
      <c r="AK273" s="177"/>
      <c r="AL273" s="154"/>
      <c r="AM273" s="154"/>
      <c r="AN273" s="154"/>
      <c r="AO273" s="151"/>
      <c r="AP273" s="155"/>
      <c r="AQ273" s="155"/>
      <c r="AR273" s="155"/>
      <c r="AS273" s="155"/>
      <c r="AT273" s="152"/>
      <c r="AU273" s="151"/>
      <c r="AV273" s="151"/>
      <c r="AW273" s="133"/>
      <c r="AX273" s="133"/>
    </row>
    <row r="274" spans="1:51" ht="18.75" customHeight="1" thickBot="1" x14ac:dyDescent="0.3">
      <c r="A274" s="411"/>
      <c r="B274" s="207" t="s">
        <v>11</v>
      </c>
      <c r="C274" s="2">
        <v>49.13</v>
      </c>
      <c r="D274" s="124">
        <v>50837.27</v>
      </c>
      <c r="E274" s="7">
        <v>103996.2</v>
      </c>
      <c r="F274" s="8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  <c r="AB274" s="177"/>
      <c r="AC274" s="177"/>
      <c r="AD274" s="177"/>
      <c r="AE274" s="177"/>
      <c r="AF274" s="177"/>
      <c r="AG274" s="177"/>
      <c r="AH274" s="177"/>
      <c r="AI274" s="177"/>
      <c r="AJ274" s="177"/>
      <c r="AK274" s="177"/>
      <c r="AL274" s="154"/>
      <c r="AM274" s="154"/>
      <c r="AN274" s="154"/>
      <c r="AO274" s="151"/>
      <c r="AP274" s="155"/>
      <c r="AQ274" s="155"/>
      <c r="AR274" s="155"/>
      <c r="AS274" s="155"/>
      <c r="AT274" s="152"/>
      <c r="AU274" s="151"/>
      <c r="AV274" s="151"/>
      <c r="AW274" s="133"/>
      <c r="AX274" s="133"/>
    </row>
    <row r="275" spans="1:51" ht="18.75" customHeight="1" thickBot="1" x14ac:dyDescent="0.3">
      <c r="A275" s="411"/>
      <c r="B275" s="207" t="s">
        <v>12</v>
      </c>
      <c r="C275" s="2">
        <v>46.99</v>
      </c>
      <c r="D275" s="124">
        <v>46553.4</v>
      </c>
      <c r="E275" s="7">
        <v>93507.3</v>
      </c>
      <c r="F275" s="8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  <c r="AB275" s="177"/>
      <c r="AC275" s="177"/>
      <c r="AD275" s="177"/>
      <c r="AE275" s="177"/>
      <c r="AF275" s="177"/>
      <c r="AG275" s="177"/>
      <c r="AH275" s="177"/>
      <c r="AI275" s="177"/>
      <c r="AJ275" s="177"/>
      <c r="AK275" s="177"/>
      <c r="AL275" s="154"/>
      <c r="AM275" s="154"/>
      <c r="AN275" s="154"/>
      <c r="AO275" s="151"/>
      <c r="AP275" s="155"/>
      <c r="AQ275" s="155"/>
      <c r="AR275" s="155"/>
      <c r="AS275" s="155"/>
      <c r="AT275" s="152"/>
      <c r="AU275" s="151"/>
      <c r="AV275" s="151"/>
      <c r="AW275" s="133"/>
      <c r="AX275" s="133"/>
    </row>
    <row r="276" spans="1:51" ht="18.75" customHeight="1" thickBot="1" x14ac:dyDescent="0.3">
      <c r="A276" s="411"/>
      <c r="B276" s="207" t="s">
        <v>13</v>
      </c>
      <c r="C276" s="194">
        <v>43.3</v>
      </c>
      <c r="D276" s="124">
        <v>44804.68</v>
      </c>
      <c r="E276" s="7">
        <v>109388.9</v>
      </c>
      <c r="F276" s="8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  <c r="AL276" s="154"/>
      <c r="AM276" s="154"/>
      <c r="AN276" s="154"/>
      <c r="AO276" s="151"/>
      <c r="AP276" s="155"/>
      <c r="AQ276" s="155"/>
      <c r="AR276" s="155"/>
      <c r="AS276" s="155"/>
      <c r="AT276" s="152"/>
      <c r="AU276" s="151"/>
      <c r="AV276" s="151"/>
      <c r="AW276" s="133"/>
      <c r="AX276" s="133"/>
    </row>
    <row r="277" spans="1:51" ht="18.75" customHeight="1" thickBot="1" x14ac:dyDescent="0.3">
      <c r="A277" s="411"/>
      <c r="B277" s="208" t="s">
        <v>14</v>
      </c>
      <c r="C277" s="2">
        <v>41.29</v>
      </c>
      <c r="D277" s="124">
        <v>42726.47</v>
      </c>
      <c r="E277" s="62">
        <v>108752.1</v>
      </c>
      <c r="F277" s="50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77"/>
      <c r="AF277" s="177"/>
      <c r="AG277" s="177"/>
      <c r="AH277" s="177"/>
      <c r="AI277" s="177"/>
      <c r="AJ277" s="177"/>
      <c r="AK277" s="177"/>
      <c r="AL277" s="154"/>
      <c r="AM277" s="154"/>
      <c r="AN277" s="154"/>
      <c r="AO277" s="151"/>
      <c r="AP277" s="155"/>
      <c r="AQ277" s="155"/>
      <c r="AR277" s="155"/>
      <c r="AS277" s="155"/>
      <c r="AT277" s="152"/>
      <c r="AU277" s="151"/>
      <c r="AV277" s="151"/>
      <c r="AW277" s="133"/>
      <c r="AX277" s="133"/>
    </row>
    <row r="278" spans="1:51" ht="18.75" customHeight="1" thickBot="1" x14ac:dyDescent="0.3">
      <c r="A278" s="411"/>
      <c r="B278" s="209" t="s">
        <v>15</v>
      </c>
      <c r="C278" s="187">
        <f>SUM(C266:C277)</f>
        <v>517.99</v>
      </c>
      <c r="D278" s="195">
        <f>SUM(D266:D277)</f>
        <v>579420.44999999995</v>
      </c>
      <c r="E278" s="195">
        <f>SUM(E266:E277)</f>
        <v>1186867</v>
      </c>
      <c r="F278" s="196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54"/>
      <c r="AM278" s="154"/>
      <c r="AN278" s="154"/>
      <c r="AO278" s="151"/>
      <c r="AP278" s="155"/>
      <c r="AQ278" s="155"/>
      <c r="AR278" s="155"/>
      <c r="AS278" s="155"/>
      <c r="AT278" s="152"/>
      <c r="AU278" s="151"/>
      <c r="AV278" s="151"/>
      <c r="AW278" s="133"/>
      <c r="AX278" s="133"/>
    </row>
    <row r="279" spans="1:51" ht="18.75" customHeight="1" x14ac:dyDescent="0.25">
      <c r="A279" s="411"/>
      <c r="B279" s="342" t="s">
        <v>204</v>
      </c>
      <c r="C279" s="342"/>
      <c r="D279" s="343">
        <f>SUM(E278+D278+D260+G260+J260+M260+P260+S260+V260+Y260+AB260+AE260-AN259+AO259-AU259+AV259-AM259)</f>
        <v>4434487.7450000001</v>
      </c>
      <c r="E279" s="344"/>
      <c r="F279" s="345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  <c r="AB279" s="177"/>
      <c r="AC279" s="177"/>
      <c r="AD279" s="177"/>
      <c r="AE279" s="177"/>
      <c r="AF279" s="177"/>
      <c r="AG279" s="177"/>
      <c r="AH279" s="177"/>
      <c r="AI279" s="177"/>
      <c r="AJ279" s="177"/>
      <c r="AK279" s="177"/>
      <c r="AL279" s="154"/>
      <c r="AM279" s="154"/>
      <c r="AN279" s="154"/>
      <c r="AO279" s="151"/>
      <c r="AP279" s="155"/>
      <c r="AQ279" s="155"/>
      <c r="AR279" s="155"/>
      <c r="AS279" s="155"/>
      <c r="AT279" s="152"/>
      <c r="AU279" s="151"/>
      <c r="AV279" s="151"/>
      <c r="AW279" s="133"/>
      <c r="AX279" s="133"/>
    </row>
    <row r="280" spans="1:51" ht="18.75" customHeight="1" x14ac:dyDescent="0.25">
      <c r="A280" s="411"/>
      <c r="B280" s="346" t="s">
        <v>206</v>
      </c>
      <c r="C280" s="346"/>
      <c r="D280" s="347">
        <f>SUM(C278+C259+F259+I259+L259+O259+R259)</f>
        <v>1496.7190000000003</v>
      </c>
      <c r="E280" s="348"/>
      <c r="F280" s="349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54"/>
      <c r="AM280" s="154"/>
      <c r="AN280" s="154"/>
      <c r="AO280" s="151"/>
      <c r="AP280" s="155"/>
      <c r="AQ280" s="155"/>
      <c r="AR280" s="155"/>
      <c r="AS280" s="155"/>
      <c r="AT280" s="152"/>
      <c r="AU280" s="151"/>
      <c r="AV280" s="151"/>
      <c r="AW280" s="133"/>
      <c r="AX280" s="133"/>
    </row>
    <row r="281" spans="1:51" ht="18.75" customHeight="1" thickBot="1" x14ac:dyDescent="0.3">
      <c r="A281" s="413"/>
      <c r="B281" s="399" t="s">
        <v>207</v>
      </c>
      <c r="C281" s="399"/>
      <c r="D281" s="400">
        <f>SUM(E278+E259+H259+K259+Q259+N259+T259+W259+Z259+AC259+AF259+AV259)</f>
        <v>2557985.8849999993</v>
      </c>
      <c r="E281" s="401"/>
      <c r="F281" s="402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  <c r="AB281" s="177"/>
      <c r="AC281" s="177"/>
      <c r="AD281" s="177"/>
      <c r="AE281" s="177"/>
      <c r="AF281" s="177"/>
      <c r="AG281" s="177"/>
      <c r="AH281" s="177"/>
      <c r="AI281" s="177"/>
      <c r="AJ281" s="177"/>
      <c r="AK281" s="177"/>
      <c r="AL281" s="154"/>
      <c r="AM281" s="154"/>
      <c r="AN281" s="154"/>
      <c r="AO281" s="151"/>
      <c r="AP281" s="155"/>
      <c r="AQ281" s="155"/>
      <c r="AR281" s="155"/>
      <c r="AS281" s="155"/>
      <c r="AT281" s="152"/>
      <c r="AU281" s="151"/>
      <c r="AV281" s="151"/>
      <c r="AW281" s="133"/>
      <c r="AX281" s="133"/>
    </row>
    <row r="282" spans="1:51" ht="18.75" customHeight="1" x14ac:dyDescent="0.25">
      <c r="A282" s="191"/>
      <c r="B282" s="192"/>
      <c r="C282" s="182"/>
      <c r="D282" s="193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  <c r="AB282" s="177"/>
      <c r="AC282" s="177"/>
      <c r="AD282" s="177"/>
      <c r="AE282" s="177"/>
      <c r="AF282" s="177"/>
      <c r="AG282" s="177"/>
      <c r="AH282" s="177"/>
      <c r="AI282" s="177"/>
      <c r="AJ282" s="177"/>
      <c r="AK282" s="177"/>
      <c r="AL282" s="154"/>
      <c r="AM282" s="154"/>
      <c r="AN282" s="154"/>
      <c r="AO282" s="151"/>
      <c r="AP282" s="155"/>
      <c r="AQ282" s="155"/>
      <c r="AR282" s="155"/>
      <c r="AS282" s="155"/>
      <c r="AT282" s="152"/>
      <c r="AU282" s="151"/>
      <c r="AV282" s="151"/>
      <c r="AW282" s="133"/>
      <c r="AX282" s="133"/>
    </row>
    <row r="283" spans="1:51" ht="18.75" customHeight="1" thickBot="1" x14ac:dyDescent="0.3">
      <c r="C283" s="150"/>
      <c r="D283" s="151"/>
      <c r="E283" s="151"/>
      <c r="F283" s="150"/>
      <c r="G283" s="151"/>
      <c r="H283" s="151"/>
      <c r="I283" s="150"/>
      <c r="J283" s="151"/>
      <c r="K283" s="151"/>
      <c r="L283" s="34"/>
      <c r="M283" s="151"/>
      <c r="N283" s="151"/>
      <c r="O283" s="34"/>
      <c r="P283" s="151"/>
      <c r="Q283" s="151"/>
      <c r="R283" s="34"/>
      <c r="S283" s="151"/>
      <c r="T283" s="151"/>
      <c r="U283" s="34"/>
      <c r="V283" s="151"/>
      <c r="W283" s="151"/>
      <c r="X283" s="34"/>
      <c r="Y283" s="151"/>
      <c r="Z283" s="151"/>
      <c r="AA283" s="34"/>
      <c r="AB283" s="151"/>
      <c r="AC283" s="151"/>
      <c r="AD283" s="152"/>
      <c r="AE283" s="151"/>
      <c r="AF283" s="151"/>
      <c r="AG283" s="152"/>
      <c r="AH283" s="151"/>
      <c r="AI283" s="152"/>
      <c r="AJ283" s="151"/>
      <c r="AK283" s="153"/>
      <c r="AL283" s="154"/>
      <c r="AM283" s="154"/>
      <c r="AN283" s="154"/>
      <c r="AO283" s="151"/>
      <c r="AP283" s="155"/>
      <c r="AQ283" s="155"/>
      <c r="AR283" s="155"/>
      <c r="AS283" s="155"/>
      <c r="AT283" s="152"/>
      <c r="AU283" s="151"/>
      <c r="AV283" s="151"/>
      <c r="AW283" s="133"/>
      <c r="AX283" s="133"/>
    </row>
    <row r="284" spans="1:51" ht="18.75" customHeight="1" thickTop="1" thickBot="1" x14ac:dyDescent="0.3">
      <c r="B284" s="197" t="s">
        <v>115</v>
      </c>
      <c r="C284" s="383" t="s">
        <v>118</v>
      </c>
      <c r="D284" s="383"/>
      <c r="E284" s="384"/>
      <c r="F284" s="382" t="s">
        <v>124</v>
      </c>
      <c r="G284" s="383"/>
      <c r="H284" s="384"/>
      <c r="I284" s="382" t="s">
        <v>125</v>
      </c>
      <c r="J284" s="383"/>
      <c r="K284" s="385"/>
      <c r="L284" s="386" t="s">
        <v>129</v>
      </c>
      <c r="M284" s="364"/>
      <c r="N284" s="365"/>
      <c r="O284" s="363" t="s">
        <v>134</v>
      </c>
      <c r="P284" s="364"/>
      <c r="Q284" s="365"/>
      <c r="R284" s="387" t="s">
        <v>154</v>
      </c>
      <c r="S284" s="388"/>
      <c r="T284" s="389"/>
      <c r="U284" s="363" t="s">
        <v>158</v>
      </c>
      <c r="V284" s="364"/>
      <c r="W284" s="365"/>
      <c r="X284" s="363" t="s">
        <v>159</v>
      </c>
      <c r="Y284" s="364"/>
      <c r="Z284" s="365"/>
      <c r="AA284" s="363" t="s">
        <v>138</v>
      </c>
      <c r="AB284" s="364"/>
      <c r="AC284" s="365"/>
      <c r="AD284" s="363" t="s">
        <v>130</v>
      </c>
      <c r="AE284" s="364"/>
      <c r="AF284" s="365"/>
      <c r="AG284" s="414" t="s">
        <v>152</v>
      </c>
      <c r="AH284" s="415"/>
      <c r="AI284" s="416" t="s">
        <v>167</v>
      </c>
      <c r="AJ284" s="415"/>
      <c r="AK284" s="8"/>
      <c r="AL284" s="8"/>
      <c r="AM284" s="8"/>
      <c r="AN284" s="8"/>
      <c r="AO284" s="417" t="s">
        <v>99</v>
      </c>
      <c r="AP284" s="418"/>
      <c r="AQ284" s="418"/>
      <c r="AR284" s="419"/>
      <c r="AS284" s="8"/>
      <c r="AT284" s="363" t="s">
        <v>145</v>
      </c>
      <c r="AU284" s="364"/>
      <c r="AV284" s="365"/>
      <c r="AW284" s="8"/>
      <c r="AY284" s="131"/>
    </row>
    <row r="285" spans="1:51" ht="60" customHeight="1" x14ac:dyDescent="0.25">
      <c r="A285" s="403" t="s">
        <v>209</v>
      </c>
      <c r="B285" s="179" t="s">
        <v>0</v>
      </c>
      <c r="C285" s="110" t="s">
        <v>119</v>
      </c>
      <c r="D285" s="20" t="s">
        <v>120</v>
      </c>
      <c r="E285" s="14" t="s">
        <v>121</v>
      </c>
      <c r="F285" s="86" t="s">
        <v>119</v>
      </c>
      <c r="G285" s="20" t="s">
        <v>120</v>
      </c>
      <c r="H285" s="14" t="s">
        <v>121</v>
      </c>
      <c r="I285" s="86" t="s">
        <v>23</v>
      </c>
      <c r="J285" s="20" t="s">
        <v>122</v>
      </c>
      <c r="K285" s="111" t="s">
        <v>123</v>
      </c>
      <c r="L285" s="184" t="s">
        <v>131</v>
      </c>
      <c r="M285" s="20" t="s">
        <v>132</v>
      </c>
      <c r="N285" s="14" t="s">
        <v>133</v>
      </c>
      <c r="O285" s="86" t="s">
        <v>135</v>
      </c>
      <c r="P285" s="20" t="s">
        <v>136</v>
      </c>
      <c r="Q285" s="14" t="s">
        <v>137</v>
      </c>
      <c r="R285" s="86" t="s">
        <v>155</v>
      </c>
      <c r="S285" s="20" t="s">
        <v>156</v>
      </c>
      <c r="T285" s="14" t="s">
        <v>157</v>
      </c>
      <c r="U285" s="86" t="s">
        <v>160</v>
      </c>
      <c r="V285" s="20" t="s">
        <v>161</v>
      </c>
      <c r="W285" s="14" t="s">
        <v>162</v>
      </c>
      <c r="X285" s="86" t="s">
        <v>163</v>
      </c>
      <c r="Y285" s="20" t="s">
        <v>164</v>
      </c>
      <c r="Z285" s="14" t="s">
        <v>165</v>
      </c>
      <c r="AA285" s="86" t="s">
        <v>139</v>
      </c>
      <c r="AB285" s="20" t="s">
        <v>140</v>
      </c>
      <c r="AC285" s="14" t="s">
        <v>141</v>
      </c>
      <c r="AD285" s="86" t="s">
        <v>126</v>
      </c>
      <c r="AE285" s="20" t="s">
        <v>127</v>
      </c>
      <c r="AF285" s="14" t="s">
        <v>128</v>
      </c>
      <c r="AG285" s="20" t="s">
        <v>172</v>
      </c>
      <c r="AH285" s="20" t="s">
        <v>171</v>
      </c>
      <c r="AI285" s="20" t="s">
        <v>169</v>
      </c>
      <c r="AJ285" s="20" t="s">
        <v>170</v>
      </c>
      <c r="AK285" s="14" t="s">
        <v>173</v>
      </c>
      <c r="AL285" s="14" t="s">
        <v>97</v>
      </c>
      <c r="AM285" s="14" t="s">
        <v>101</v>
      </c>
      <c r="AN285" s="14" t="s">
        <v>66</v>
      </c>
      <c r="AO285" s="20" t="s">
        <v>202</v>
      </c>
      <c r="AP285" s="14" t="s">
        <v>90</v>
      </c>
      <c r="AQ285" s="14" t="s">
        <v>91</v>
      </c>
      <c r="AR285" s="14" t="s">
        <v>27</v>
      </c>
      <c r="AS285" s="14" t="s">
        <v>100</v>
      </c>
      <c r="AT285" s="86" t="s">
        <v>146</v>
      </c>
      <c r="AU285" s="22" t="s">
        <v>148</v>
      </c>
      <c r="AV285" s="14" t="s">
        <v>147</v>
      </c>
      <c r="AW285" s="22" t="s">
        <v>94</v>
      </c>
      <c r="AX285" s="131"/>
      <c r="AY285" s="132"/>
    </row>
    <row r="286" spans="1:51" ht="18.75" customHeight="1" thickBot="1" x14ac:dyDescent="0.3">
      <c r="A286" s="404"/>
      <c r="B286" s="82"/>
      <c r="C286" s="112" t="s">
        <v>151</v>
      </c>
      <c r="D286" s="18" t="s">
        <v>151</v>
      </c>
      <c r="E286" s="87" t="s">
        <v>1</v>
      </c>
      <c r="F286" s="90" t="s">
        <v>151</v>
      </c>
      <c r="G286" s="18" t="s">
        <v>151</v>
      </c>
      <c r="H286" s="87" t="s">
        <v>1</v>
      </c>
      <c r="I286" s="90" t="s">
        <v>151</v>
      </c>
      <c r="J286" s="18" t="s">
        <v>151</v>
      </c>
      <c r="K286" s="113" t="s">
        <v>1</v>
      </c>
      <c r="L286" s="85" t="s">
        <v>151</v>
      </c>
      <c r="M286" s="18" t="s">
        <v>151</v>
      </c>
      <c r="N286" s="87" t="s">
        <v>1</v>
      </c>
      <c r="O286" s="90" t="s">
        <v>151</v>
      </c>
      <c r="P286" s="18" t="s">
        <v>151</v>
      </c>
      <c r="Q286" s="87" t="s">
        <v>1</v>
      </c>
      <c r="R286" s="90" t="s">
        <v>151</v>
      </c>
      <c r="S286" s="18" t="s">
        <v>151</v>
      </c>
      <c r="T286" s="87" t="s">
        <v>1</v>
      </c>
      <c r="U286" s="90" t="s">
        <v>151</v>
      </c>
      <c r="V286" s="18" t="s">
        <v>151</v>
      </c>
      <c r="W286" s="87" t="s">
        <v>1</v>
      </c>
      <c r="X286" s="90" t="s">
        <v>151</v>
      </c>
      <c r="Y286" s="18" t="s">
        <v>151</v>
      </c>
      <c r="Z286" s="87" t="s">
        <v>1</v>
      </c>
      <c r="AA286" s="90" t="s">
        <v>151</v>
      </c>
      <c r="AB286" s="18" t="s">
        <v>151</v>
      </c>
      <c r="AC286" s="87" t="s">
        <v>1</v>
      </c>
      <c r="AD286" s="90" t="s">
        <v>151</v>
      </c>
      <c r="AE286" s="18" t="s">
        <v>151</v>
      </c>
      <c r="AF286" s="87" t="s">
        <v>151</v>
      </c>
      <c r="AG286" s="85" t="s">
        <v>17</v>
      </c>
      <c r="AH286" s="18" t="s">
        <v>18</v>
      </c>
      <c r="AI286" s="85" t="s">
        <v>168</v>
      </c>
      <c r="AJ286" s="18" t="s">
        <v>151</v>
      </c>
      <c r="AK286" s="18" t="s">
        <v>18</v>
      </c>
      <c r="AL286" s="18" t="s">
        <v>98</v>
      </c>
      <c r="AM286" s="18" t="s">
        <v>98</v>
      </c>
      <c r="AN286" s="18" t="s">
        <v>98</v>
      </c>
      <c r="AO286" s="18" t="s">
        <v>150</v>
      </c>
      <c r="AP286" s="18" t="s">
        <v>17</v>
      </c>
      <c r="AQ286" s="18" t="s">
        <v>17</v>
      </c>
      <c r="AR286" s="18" t="s">
        <v>17</v>
      </c>
      <c r="AS286" s="18" t="s">
        <v>17</v>
      </c>
      <c r="AT286" s="90" t="s">
        <v>149</v>
      </c>
      <c r="AU286" s="90" t="s">
        <v>149</v>
      </c>
      <c r="AV286" s="87" t="s">
        <v>1</v>
      </c>
      <c r="AW286" s="18" t="s">
        <v>93</v>
      </c>
      <c r="AX286" s="132"/>
      <c r="AY286" s="133"/>
    </row>
    <row r="287" spans="1:51" ht="18.75" customHeight="1" x14ac:dyDescent="0.25">
      <c r="A287" s="404"/>
      <c r="B287" s="185" t="s">
        <v>3</v>
      </c>
      <c r="C287" s="114" t="e">
        <f>#REF!</f>
        <v>#REF!</v>
      </c>
      <c r="D287" s="3" t="e">
        <f>#REF!</f>
        <v>#REF!</v>
      </c>
      <c r="E287" s="21">
        <f>52003.8-K287</f>
        <v>41988.91</v>
      </c>
      <c r="F287" s="1">
        <v>0</v>
      </c>
      <c r="G287" s="3" t="e">
        <f>#REF!</f>
        <v>#REF!</v>
      </c>
      <c r="H287" s="21">
        <v>0</v>
      </c>
      <c r="I287" s="1" t="e">
        <f>#REF!</f>
        <v>#REF!</v>
      </c>
      <c r="J287" s="3" t="e">
        <f>#REF!</f>
        <v>#REF!</v>
      </c>
      <c r="K287" s="115">
        <f>(3859.9+3912.5+1419)/2*1.15+(1945.9+1565+602)*1.15</f>
        <v>10014.89</v>
      </c>
      <c r="L287" s="107"/>
      <c r="M287" s="3"/>
      <c r="N287" s="21"/>
      <c r="O287" s="101"/>
      <c r="P287" s="3"/>
      <c r="Q287" s="21"/>
      <c r="R287" s="101"/>
      <c r="S287" s="3"/>
      <c r="T287" s="21"/>
      <c r="U287" s="101"/>
      <c r="V287" s="3"/>
      <c r="W287" s="21"/>
      <c r="X287" s="101"/>
      <c r="Y287" s="3"/>
      <c r="Z287" s="21"/>
      <c r="AA287" s="101"/>
      <c r="AB287" s="3"/>
      <c r="AC287" s="21"/>
      <c r="AD287" s="98"/>
      <c r="AE287" s="3"/>
      <c r="AF287" s="21"/>
      <c r="AG287" s="93"/>
      <c r="AH287" s="3"/>
      <c r="AI287" s="93"/>
      <c r="AJ287" s="3"/>
      <c r="AK287" s="21"/>
      <c r="AL287" s="21"/>
      <c r="AM287" s="21"/>
      <c r="AN287" s="21"/>
      <c r="AO287" s="3">
        <v>20907</v>
      </c>
      <c r="AP287" s="72">
        <v>1.5999000000000001</v>
      </c>
      <c r="AQ287" s="72">
        <v>1.5671999999999999</v>
      </c>
      <c r="AR287" s="72">
        <v>4.9694000000000003</v>
      </c>
      <c r="AS287" s="72"/>
      <c r="AT287" s="98"/>
      <c r="AU287" s="3"/>
      <c r="AV287" s="21"/>
      <c r="AW287" s="75">
        <v>387</v>
      </c>
      <c r="AX287" s="133"/>
      <c r="AY287" s="133"/>
    </row>
    <row r="288" spans="1:51" ht="18.75" customHeight="1" x14ac:dyDescent="0.25">
      <c r="A288" s="404"/>
      <c r="B288" s="83" t="s">
        <v>4</v>
      </c>
      <c r="C288" s="116" t="e">
        <f>#REF!</f>
        <v>#REF!</v>
      </c>
      <c r="D288" s="7" t="e">
        <f>#REF!</f>
        <v>#REF!</v>
      </c>
      <c r="E288" s="9">
        <f>75151-K288</f>
        <v>71063.44</v>
      </c>
      <c r="F288" s="5">
        <v>0</v>
      </c>
      <c r="G288" s="7" t="e">
        <f>#REF!</f>
        <v>#REF!</v>
      </c>
      <c r="H288" s="9">
        <v>0</v>
      </c>
      <c r="I288" s="5" t="e">
        <f>#REF!</f>
        <v>#REF!</v>
      </c>
      <c r="J288" s="7" t="e">
        <f>#REF!</f>
        <v>#REF!</v>
      </c>
      <c r="K288" s="117">
        <f>(1786.4+1252+516)*1.15</f>
        <v>4087.56</v>
      </c>
      <c r="L288" s="108"/>
      <c r="M288" s="7"/>
      <c r="N288" s="9"/>
      <c r="O288" s="102"/>
      <c r="P288" s="7"/>
      <c r="Q288" s="9"/>
      <c r="R288" s="102"/>
      <c r="S288" s="7"/>
      <c r="T288" s="9"/>
      <c r="U288" s="102"/>
      <c r="V288" s="7"/>
      <c r="W288" s="9"/>
      <c r="X288" s="102"/>
      <c r="Y288" s="7"/>
      <c r="Z288" s="9"/>
      <c r="AA288" s="102"/>
      <c r="AB288" s="7"/>
      <c r="AC288" s="9"/>
      <c r="AD288" s="99"/>
      <c r="AE288" s="7"/>
      <c r="AF288" s="9"/>
      <c r="AG288" s="94"/>
      <c r="AH288" s="7"/>
      <c r="AI288" s="94"/>
      <c r="AJ288" s="7"/>
      <c r="AK288" s="9">
        <v>47600</v>
      </c>
      <c r="AL288" s="9"/>
      <c r="AM288" s="9">
        <v>1258.5</v>
      </c>
      <c r="AN288" s="9"/>
      <c r="AO288" s="7">
        <v>18245</v>
      </c>
      <c r="AP288" s="72">
        <v>1.3405</v>
      </c>
      <c r="AQ288" s="72">
        <v>0.58009999999999995</v>
      </c>
      <c r="AR288" s="72">
        <v>2.5870000000000002</v>
      </c>
      <c r="AS288" s="72"/>
      <c r="AT288" s="99"/>
      <c r="AU288" s="7"/>
      <c r="AV288" s="9"/>
      <c r="AW288" s="75">
        <v>670</v>
      </c>
      <c r="AX288" s="133"/>
      <c r="AY288" s="133"/>
    </row>
    <row r="289" spans="1:51" ht="18.75" customHeight="1" x14ac:dyDescent="0.25">
      <c r="A289" s="404"/>
      <c r="B289" s="83" t="s">
        <v>5</v>
      </c>
      <c r="C289" s="118" t="e">
        <f>#REF!</f>
        <v>#REF!</v>
      </c>
      <c r="D289" s="7" t="e">
        <f>#REF!</f>
        <v>#REF!</v>
      </c>
      <c r="E289" s="9">
        <f>105399.9-H289-K289-AC289-AV289</f>
        <v>83140.845000000001</v>
      </c>
      <c r="F289" s="96" t="e">
        <f>#REF!</f>
        <v>#REF!</v>
      </c>
      <c r="G289" s="7" t="e">
        <f>#REF!</f>
        <v>#REF!</v>
      </c>
      <c r="H289" s="9">
        <f>(1786.4+1252+516+1786.4+939+473)*1.15</f>
        <v>7765.7199999999993</v>
      </c>
      <c r="I289" s="96" t="e">
        <f>#REF!</f>
        <v>#REF!</v>
      </c>
      <c r="J289" s="105" t="e">
        <f>#REF!</f>
        <v>#REF!</v>
      </c>
      <c r="K289" s="117">
        <f>(1786.4+782.5+387+1914+1408.5+559)*1.15</f>
        <v>7863.0099999999993</v>
      </c>
      <c r="L289" s="108"/>
      <c r="M289" s="7"/>
      <c r="N289" s="9"/>
      <c r="O289" s="102"/>
      <c r="P289" s="7"/>
      <c r="Q289" s="9"/>
      <c r="R289" s="102"/>
      <c r="S289" s="7"/>
      <c r="T289" s="9"/>
      <c r="U289" s="102"/>
      <c r="V289" s="7"/>
      <c r="W289" s="9"/>
      <c r="X289" s="102"/>
      <c r="Y289" s="7"/>
      <c r="Z289" s="9"/>
      <c r="AA289" s="102">
        <v>2.98</v>
      </c>
      <c r="AB289" s="7">
        <v>6851</v>
      </c>
      <c r="AC289" s="9">
        <f>(1786.4+1408.5+559)*1.15</f>
        <v>4316.9849999999997</v>
      </c>
      <c r="AD289" s="99"/>
      <c r="AE289" s="7"/>
      <c r="AF289" s="9"/>
      <c r="AG289" s="94"/>
      <c r="AH289" s="7"/>
      <c r="AI289" s="94"/>
      <c r="AJ289" s="7"/>
      <c r="AK289" s="9"/>
      <c r="AL289" s="9">
        <v>1948</v>
      </c>
      <c r="AM289" s="9"/>
      <c r="AN289" s="9">
        <v>52395</v>
      </c>
      <c r="AO289" s="7">
        <v>19703</v>
      </c>
      <c r="AP289" s="72">
        <v>1.5401</v>
      </c>
      <c r="AQ289" s="72">
        <v>0.7601</v>
      </c>
      <c r="AR289" s="72">
        <v>3.1217999999999999</v>
      </c>
      <c r="AS289" s="72"/>
      <c r="AT289" s="99">
        <v>1.42</v>
      </c>
      <c r="AU289" s="7">
        <v>6106</v>
      </c>
      <c r="AV289" s="9">
        <f>(1084.6+626+301)*1.15</f>
        <v>2313.3399999999997</v>
      </c>
      <c r="AW289" s="75">
        <v>485</v>
      </c>
      <c r="AX289" s="133"/>
      <c r="AY289" s="133"/>
    </row>
    <row r="290" spans="1:51" ht="18.75" customHeight="1" x14ac:dyDescent="0.25">
      <c r="A290" s="404"/>
      <c r="B290" s="83" t="s">
        <v>6</v>
      </c>
      <c r="C290" s="118" t="e">
        <f>#REF!</f>
        <v>#REF!</v>
      </c>
      <c r="D290" s="7" t="e">
        <f>#REF!</f>
        <v>#REF!</v>
      </c>
      <c r="E290" s="9">
        <f>153623.7-H290-K290-N290-Q290-T290-W290-Z290-AC290-AV290</f>
        <v>117245.40500000001</v>
      </c>
      <c r="F290" s="96" t="e">
        <f>#REF!</f>
        <v>#REF!</v>
      </c>
      <c r="G290" s="7" t="e">
        <f>#REF!</f>
        <v>#REF!</v>
      </c>
      <c r="H290" s="9">
        <f>(1786.4+939+430+1786.4+939+430+1786.4+939+473)*1.15</f>
        <v>10935.58</v>
      </c>
      <c r="I290" s="96" t="e">
        <f>#REF!</f>
        <v>#REF!</v>
      </c>
      <c r="J290" s="7" t="e">
        <f>#REF!</f>
        <v>#REF!</v>
      </c>
      <c r="K290" s="117">
        <f>(1786.4+1095.5+516+1786.4+939+516)*1.15</f>
        <v>7635.1949999999997</v>
      </c>
      <c r="L290" s="108">
        <f>1.6+1.74</f>
        <v>3.34</v>
      </c>
      <c r="M290" s="7">
        <v>1459.58</v>
      </c>
      <c r="N290" s="9">
        <f>(1786.4+782.5+387+1850.2+1252+559)*1.15</f>
        <v>7609.665</v>
      </c>
      <c r="O290" s="102">
        <f>2.68+2.15</f>
        <v>4.83</v>
      </c>
      <c r="P290" s="7">
        <v>3332.7</v>
      </c>
      <c r="Q290" s="9">
        <f>(1786.4+782.5+430+1786.4+782.5+387)*1.15</f>
        <v>6848.0199999999995</v>
      </c>
      <c r="R290" s="102">
        <v>5.24</v>
      </c>
      <c r="S290" s="7">
        <f>5.24*1631.35</f>
        <v>8548.2739999999994</v>
      </c>
      <c r="T290" s="9">
        <f>(1786.4+782.5+344)*1.15</f>
        <v>3349.835</v>
      </c>
      <c r="U290" s="102"/>
      <c r="V290" s="7"/>
      <c r="W290" s="9"/>
      <c r="X290" s="102"/>
      <c r="Y290" s="7"/>
      <c r="Z290" s="9"/>
      <c r="AA290" s="102"/>
      <c r="AB290" s="7"/>
      <c r="AC290" s="9"/>
      <c r="AD290" s="99"/>
      <c r="AE290" s="7"/>
      <c r="AF290" s="9"/>
      <c r="AG290" s="94"/>
      <c r="AH290" s="7"/>
      <c r="AI290" s="94"/>
      <c r="AJ290" s="7"/>
      <c r="AK290" s="9">
        <v>18764.68</v>
      </c>
      <c r="AL290" s="9"/>
      <c r="AM290" s="9">
        <v>2595.1</v>
      </c>
      <c r="AN290" s="9"/>
      <c r="AO290" s="7">
        <v>27294.33</v>
      </c>
      <c r="AP290" s="72">
        <v>2.1404000000000001</v>
      </c>
      <c r="AQ290" s="72">
        <v>1.2808999999999999</v>
      </c>
      <c r="AR290" s="72">
        <v>3.1101999999999999</v>
      </c>
      <c r="AS290" s="72"/>
      <c r="AT290" s="99"/>
      <c r="AU290" s="7"/>
      <c r="AV290" s="9"/>
      <c r="AW290" s="75">
        <v>371</v>
      </c>
      <c r="AX290" s="133"/>
      <c r="AY290" s="133"/>
    </row>
    <row r="291" spans="1:51" ht="18.75" customHeight="1" x14ac:dyDescent="0.25">
      <c r="A291" s="404"/>
      <c r="B291" s="83" t="s">
        <v>7</v>
      </c>
      <c r="C291" s="119" t="e">
        <f>#REF!</f>
        <v>#REF!</v>
      </c>
      <c r="D291" s="7" t="e">
        <f>#REF!</f>
        <v>#REF!</v>
      </c>
      <c r="E291" s="9">
        <f>125053-H291-K291-N291-Q291-W291-AC291-AV291</f>
        <v>83053.274999999994</v>
      </c>
      <c r="F291" s="91" t="e">
        <f>#REF!</f>
        <v>#REF!</v>
      </c>
      <c r="G291" s="7" t="e">
        <f>#REF!</f>
        <v>#REF!</v>
      </c>
      <c r="H291" s="9">
        <f>(1786.4+1095.5+473+1786.4+939+473)*1.15</f>
        <v>7536.2950000000001</v>
      </c>
      <c r="I291" s="96" t="e">
        <f>#REF!</f>
        <v>#REF!</v>
      </c>
      <c r="J291" s="7" t="e">
        <f>#REF!</f>
        <v>#REF!</v>
      </c>
      <c r="K291" s="117">
        <f>(1786.4+1095.5+473+1786.4+939+430)*1.15</f>
        <v>7486.8449999999993</v>
      </c>
      <c r="L291" s="108">
        <v>0.81</v>
      </c>
      <c r="M291" s="7">
        <v>353.97</v>
      </c>
      <c r="N291" s="9">
        <f>(1786.4+782.5+387)*1.15</f>
        <v>3399.2849999999999</v>
      </c>
      <c r="O291" s="102">
        <f>2+2.52+2.15+2.05</f>
        <v>8.7199999999999989</v>
      </c>
      <c r="P291" s="7">
        <f>O291*600*1.15</f>
        <v>6016.7999999999984</v>
      </c>
      <c r="Q291" s="9">
        <f>(1786.4+782.5+387+1786.4+939+430+1786.4+782.5+387+1786.4+782.5+387)*1.15</f>
        <v>13826.564999999999</v>
      </c>
      <c r="R291" s="102"/>
      <c r="S291" s="7"/>
      <c r="T291" s="9"/>
      <c r="U291" s="102">
        <v>4.8099999999999996</v>
      </c>
      <c r="V291" s="7">
        <f>4.81*526.35</f>
        <v>2531.7435</v>
      </c>
      <c r="W291" s="9">
        <f>(1786.4+939+387)*1.15</f>
        <v>3579.2599999999998</v>
      </c>
      <c r="X291" s="102"/>
      <c r="Y291" s="7"/>
      <c r="Z291" s="9"/>
      <c r="AA291" s="102">
        <v>2.41</v>
      </c>
      <c r="AB291" s="7">
        <f>AA291*1900*1.21</f>
        <v>5540.59</v>
      </c>
      <c r="AC291" s="9">
        <f>(1786.4+782.5+387)*1.15</f>
        <v>3399.2849999999999</v>
      </c>
      <c r="AD291" s="99"/>
      <c r="AE291" s="7"/>
      <c r="AF291" s="9"/>
      <c r="AG291" s="94"/>
      <c r="AH291" s="7"/>
      <c r="AI291" s="94"/>
      <c r="AJ291" s="7">
        <v>522.72</v>
      </c>
      <c r="AK291" s="9">
        <v>12100</v>
      </c>
      <c r="AL291" s="9"/>
      <c r="AM291" s="9"/>
      <c r="AN291" s="9"/>
      <c r="AO291" s="7">
        <v>42064.82</v>
      </c>
      <c r="AP291" s="72">
        <v>3.0802</v>
      </c>
      <c r="AQ291" s="72">
        <v>1.9473</v>
      </c>
      <c r="AR291" s="72">
        <v>4.3415999999999997</v>
      </c>
      <c r="AS291" s="72"/>
      <c r="AT291" s="99">
        <v>1.66</v>
      </c>
      <c r="AU291" s="7">
        <v>6640</v>
      </c>
      <c r="AV291" s="9">
        <f>(1084.6+939+387)*1.15</f>
        <v>2772.1899999999996</v>
      </c>
      <c r="AW291" s="75">
        <v>139</v>
      </c>
      <c r="AX291" s="133"/>
      <c r="AY291" s="133"/>
    </row>
    <row r="292" spans="1:51" ht="18.75" customHeight="1" x14ac:dyDescent="0.25">
      <c r="A292" s="404"/>
      <c r="B292" s="83" t="s">
        <v>8</v>
      </c>
      <c r="C292" s="119" t="e">
        <f>#REF!</f>
        <v>#REF!</v>
      </c>
      <c r="D292" s="7" t="e">
        <f>#REF!</f>
        <v>#REF!</v>
      </c>
      <c r="E292" s="9">
        <f>142163.1-H292-K292-N292-Q292-AV292</f>
        <v>98080.72500000002</v>
      </c>
      <c r="F292" s="91" t="e">
        <f>#REF!</f>
        <v>#REF!</v>
      </c>
      <c r="G292" s="7" t="e">
        <f>#REF!</f>
        <v>#REF!</v>
      </c>
      <c r="H292" s="9">
        <f>(1786.4+1252+516+1786.4+782.5+430+1786.4+1095.5+516+1786.4+782.5+387)*1.15</f>
        <v>14843.164999999999</v>
      </c>
      <c r="I292" s="96" t="e">
        <f>#REF!</f>
        <v>#REF!</v>
      </c>
      <c r="J292" s="7" t="e">
        <f>#REF!</f>
        <v>#REF!</v>
      </c>
      <c r="K292" s="117">
        <f>(1786.4+1095.5+516+1786.4+1252+516)*1.15</f>
        <v>7995.1449999999995</v>
      </c>
      <c r="L292" s="108">
        <f>0.97+2.83+1.77</f>
        <v>5.57</v>
      </c>
      <c r="M292" s="7">
        <v>2434.09</v>
      </c>
      <c r="N292" s="9">
        <f>(1786.4+782.5+430+1786.4+1095.5+473+1786.4+782.5+430)*1.15</f>
        <v>10755.605</v>
      </c>
      <c r="O292" s="102">
        <f>1.5+1.34</f>
        <v>2.84</v>
      </c>
      <c r="P292" s="7">
        <v>1959.6</v>
      </c>
      <c r="Q292" s="9">
        <f>(1786.4+939+430+1786.4+939+473)*1.15</f>
        <v>7306.87</v>
      </c>
      <c r="R292" s="102"/>
      <c r="S292" s="7"/>
      <c r="T292" s="9"/>
      <c r="U292" s="102"/>
      <c r="V292" s="7"/>
      <c r="W292" s="9"/>
      <c r="X292" s="102"/>
      <c r="Y292" s="7"/>
      <c r="Z292" s="9"/>
      <c r="AA292" s="102"/>
      <c r="AB292" s="7"/>
      <c r="AC292" s="9"/>
      <c r="AD292" s="99"/>
      <c r="AE292" s="7"/>
      <c r="AF292" s="9"/>
      <c r="AG292" s="94"/>
      <c r="AH292" s="7"/>
      <c r="AI292" s="94"/>
      <c r="AJ292" s="7"/>
      <c r="AK292" s="9">
        <v>12100</v>
      </c>
      <c r="AL292" s="9"/>
      <c r="AM292" s="9"/>
      <c r="AN292" s="9"/>
      <c r="AO292" s="7">
        <v>33396.519999999997</v>
      </c>
      <c r="AP292" s="72">
        <v>2.4449000000000001</v>
      </c>
      <c r="AQ292" s="72">
        <v>1.06</v>
      </c>
      <c r="AR292" s="72">
        <v>3.7195</v>
      </c>
      <c r="AS292" s="72"/>
      <c r="AT292" s="99">
        <v>1.58</v>
      </c>
      <c r="AU292" s="7">
        <v>5530</v>
      </c>
      <c r="AV292" s="9">
        <f>(1084.6+1252+430)*1.15</f>
        <v>3181.5899999999997</v>
      </c>
      <c r="AW292" s="75">
        <v>408</v>
      </c>
      <c r="AX292" s="133"/>
      <c r="AY292" s="133"/>
    </row>
    <row r="293" spans="1:51" ht="18.75" customHeight="1" x14ac:dyDescent="0.25">
      <c r="A293" s="404"/>
      <c r="B293" s="83" t="s">
        <v>9</v>
      </c>
      <c r="C293" s="119">
        <v>96.56</v>
      </c>
      <c r="D293" s="7">
        <v>99915.46</v>
      </c>
      <c r="E293" s="9">
        <v>131798.51</v>
      </c>
      <c r="F293" s="91">
        <v>31.22</v>
      </c>
      <c r="G293" s="7">
        <v>32501.45</v>
      </c>
      <c r="H293" s="9">
        <v>35909.32</v>
      </c>
      <c r="I293" s="96">
        <v>3.19</v>
      </c>
      <c r="J293" s="7">
        <v>4126.2700000000004</v>
      </c>
      <c r="K293" s="117">
        <v>3628.71</v>
      </c>
      <c r="L293" s="108">
        <v>6.82</v>
      </c>
      <c r="M293" s="7">
        <v>2980.34</v>
      </c>
      <c r="N293" s="9">
        <v>14744.26</v>
      </c>
      <c r="O293" s="102">
        <v>4.99</v>
      </c>
      <c r="P293" s="7">
        <v>3443.1</v>
      </c>
      <c r="Q293" s="9">
        <v>10427.280000000001</v>
      </c>
      <c r="R293" s="102"/>
      <c r="S293" s="7"/>
      <c r="T293" s="9"/>
      <c r="U293" s="102">
        <v>24.25</v>
      </c>
      <c r="V293" s="7">
        <v>8802.75</v>
      </c>
      <c r="W293" s="9">
        <v>10476.73</v>
      </c>
      <c r="X293" s="102"/>
      <c r="Y293" s="7"/>
      <c r="Z293" s="9"/>
      <c r="AA293" s="102"/>
      <c r="AB293" s="7"/>
      <c r="AC293" s="9"/>
      <c r="AD293" s="99"/>
      <c r="AE293" s="7"/>
      <c r="AF293" s="9"/>
      <c r="AG293" s="94"/>
      <c r="AH293" s="7"/>
      <c r="AI293" s="94"/>
      <c r="AJ293" s="7"/>
      <c r="AK293" s="9"/>
      <c r="AL293" s="9"/>
      <c r="AM293" s="9"/>
      <c r="AN293" s="9"/>
      <c r="AO293" s="7">
        <v>34307.199999999997</v>
      </c>
      <c r="AP293" s="72">
        <v>2.6326999999999998</v>
      </c>
      <c r="AQ293" s="72">
        <v>1.4001999999999999</v>
      </c>
      <c r="AR293" s="72">
        <v>4.5930999999999997</v>
      </c>
      <c r="AS293" s="72"/>
      <c r="AT293" s="99">
        <v>1.8</v>
      </c>
      <c r="AU293" s="7">
        <v>6660</v>
      </c>
      <c r="AV293" s="9">
        <v>2881.9</v>
      </c>
      <c r="AW293" s="75">
        <v>947</v>
      </c>
      <c r="AX293" s="133"/>
      <c r="AY293" s="133"/>
    </row>
    <row r="294" spans="1:51" ht="18.75" customHeight="1" x14ac:dyDescent="0.25">
      <c r="A294" s="404"/>
      <c r="B294" s="83" t="s">
        <v>10</v>
      </c>
      <c r="C294" s="119">
        <v>84.86</v>
      </c>
      <c r="D294" s="7">
        <v>87808.88</v>
      </c>
      <c r="E294" s="9">
        <v>151830</v>
      </c>
      <c r="F294" s="91">
        <v>39.31</v>
      </c>
      <c r="G294" s="7">
        <v>40676.019999999997</v>
      </c>
      <c r="H294" s="9">
        <v>28728.49</v>
      </c>
      <c r="I294" s="96">
        <v>3.46</v>
      </c>
      <c r="J294" s="7">
        <v>4475.51</v>
      </c>
      <c r="K294" s="117">
        <v>3628.71</v>
      </c>
      <c r="L294" s="108">
        <v>5.78</v>
      </c>
      <c r="M294" s="7">
        <v>2525.86</v>
      </c>
      <c r="N294" s="9">
        <v>11241.82</v>
      </c>
      <c r="O294" s="102">
        <v>4.12</v>
      </c>
      <c r="P294" s="7">
        <v>2842.8</v>
      </c>
      <c r="Q294" s="9">
        <v>6897.47</v>
      </c>
      <c r="R294" s="102"/>
      <c r="S294" s="7"/>
      <c r="T294" s="9"/>
      <c r="U294" s="102">
        <v>10.75</v>
      </c>
      <c r="V294" s="7">
        <v>5658.26</v>
      </c>
      <c r="W294" s="9">
        <v>3155.4</v>
      </c>
      <c r="X294" s="102"/>
      <c r="Y294" s="7"/>
      <c r="Z294" s="9"/>
      <c r="AA294" s="102"/>
      <c r="AB294" s="7"/>
      <c r="AC294" s="9"/>
      <c r="AD294" s="99"/>
      <c r="AE294" s="7"/>
      <c r="AF294" s="9"/>
      <c r="AG294" s="94"/>
      <c r="AH294" s="7"/>
      <c r="AI294" s="94"/>
      <c r="AJ294" s="7"/>
      <c r="AK294" s="9"/>
      <c r="AL294" s="9"/>
      <c r="AM294" s="9"/>
      <c r="AN294" s="9"/>
      <c r="AO294" s="7">
        <v>40045.82</v>
      </c>
      <c r="AP294" s="72">
        <v>3.8069000000000002</v>
      </c>
      <c r="AQ294" s="72">
        <v>1.3401000000000001</v>
      </c>
      <c r="AR294" s="72">
        <v>4.5609000000000002</v>
      </c>
      <c r="AS294" s="72"/>
      <c r="AT294" s="99"/>
      <c r="AU294" s="7"/>
      <c r="AV294" s="9"/>
      <c r="AW294" s="75">
        <v>366</v>
      </c>
      <c r="AX294" s="133"/>
      <c r="AY294" s="133"/>
    </row>
    <row r="295" spans="1:51" ht="18.75" customHeight="1" x14ac:dyDescent="0.25">
      <c r="A295" s="404"/>
      <c r="B295" s="83" t="s">
        <v>11</v>
      </c>
      <c r="C295" s="119">
        <v>57.8</v>
      </c>
      <c r="D295" s="7">
        <v>59808.55</v>
      </c>
      <c r="E295" s="9">
        <v>69474.95</v>
      </c>
      <c r="F295" s="91">
        <v>29.25</v>
      </c>
      <c r="G295" s="7">
        <v>30266.41</v>
      </c>
      <c r="H295" s="9">
        <v>29358.22</v>
      </c>
      <c r="I295" s="96">
        <v>3.08</v>
      </c>
      <c r="J295" s="7">
        <v>3983.98</v>
      </c>
      <c r="K295" s="117">
        <v>3628.71</v>
      </c>
      <c r="L295" s="108">
        <v>2.93</v>
      </c>
      <c r="M295" s="7">
        <v>1890.05</v>
      </c>
      <c r="N295" s="9">
        <v>6726</v>
      </c>
      <c r="O295" s="102">
        <v>3.71</v>
      </c>
      <c r="P295" s="7">
        <v>2559.9</v>
      </c>
      <c r="Q295" s="9">
        <v>7526.98</v>
      </c>
      <c r="R295" s="102"/>
      <c r="S295" s="7"/>
      <c r="T295" s="9"/>
      <c r="U295" s="102">
        <v>16.8</v>
      </c>
      <c r="V295" s="7">
        <v>6098.4</v>
      </c>
      <c r="W295" s="9">
        <v>6798.57</v>
      </c>
      <c r="X295" s="102"/>
      <c r="Y295" s="7"/>
      <c r="Z295" s="9"/>
      <c r="AA295" s="102"/>
      <c r="AB295" s="7"/>
      <c r="AC295" s="9"/>
      <c r="AD295" s="99"/>
      <c r="AE295" s="7"/>
      <c r="AF295" s="9"/>
      <c r="AG295" s="94"/>
      <c r="AH295" s="7"/>
      <c r="AI295" s="94"/>
      <c r="AJ295" s="7"/>
      <c r="AK295" s="9"/>
      <c r="AL295" s="9"/>
      <c r="AM295" s="9"/>
      <c r="AN295" s="9">
        <v>81869</v>
      </c>
      <c r="AO295" s="7">
        <v>40045.449999999997</v>
      </c>
      <c r="AP295" s="72">
        <v>3.8069000000000002</v>
      </c>
      <c r="AQ295" s="72">
        <v>1.3401000000000001</v>
      </c>
      <c r="AR295" s="72">
        <v>4.5609000000000002</v>
      </c>
      <c r="AS295" s="72"/>
      <c r="AT295" s="99">
        <v>1.78</v>
      </c>
      <c r="AU295" s="7">
        <v>5518</v>
      </c>
      <c r="AV295" s="9">
        <v>3012.77</v>
      </c>
      <c r="AW295" s="75">
        <v>304</v>
      </c>
      <c r="AX295" s="133"/>
      <c r="AY295" s="133"/>
    </row>
    <row r="296" spans="1:51" ht="18.75" customHeight="1" x14ac:dyDescent="0.25">
      <c r="A296" s="404"/>
      <c r="B296" s="83" t="s">
        <v>12</v>
      </c>
      <c r="C296" s="119">
        <v>84.25</v>
      </c>
      <c r="D296" s="7">
        <v>87177.69</v>
      </c>
      <c r="E296" s="9">
        <v>141186.9</v>
      </c>
      <c r="F296" s="91">
        <v>11.34</v>
      </c>
      <c r="G296" s="7">
        <v>11734.05</v>
      </c>
      <c r="H296" s="9">
        <v>12218.06</v>
      </c>
      <c r="I296" s="96">
        <v>9.48</v>
      </c>
      <c r="J296" s="7">
        <v>10386.44</v>
      </c>
      <c r="K296" s="117">
        <v>10571.6</v>
      </c>
      <c r="L296" s="108">
        <v>3.94</v>
      </c>
      <c r="M296" s="7">
        <v>2541.6</v>
      </c>
      <c r="N296" s="9">
        <v>10959.5</v>
      </c>
      <c r="O296" s="102"/>
      <c r="P296" s="7"/>
      <c r="Q296" s="9"/>
      <c r="R296" s="102"/>
      <c r="S296" s="7"/>
      <c r="T296" s="9"/>
      <c r="U296" s="102"/>
      <c r="V296" s="7"/>
      <c r="W296" s="9"/>
      <c r="X296" s="102"/>
      <c r="Y296" s="7"/>
      <c r="Z296" s="9"/>
      <c r="AA296" s="102"/>
      <c r="AB296" s="7"/>
      <c r="AC296" s="9"/>
      <c r="AD296" s="99">
        <v>3.44</v>
      </c>
      <c r="AE296" s="7"/>
      <c r="AF296" s="9"/>
      <c r="AG296" s="94"/>
      <c r="AH296" s="7"/>
      <c r="AI296" s="94"/>
      <c r="AJ296" s="7"/>
      <c r="AK296" s="9"/>
      <c r="AL296" s="9"/>
      <c r="AM296" s="9"/>
      <c r="AN296" s="9"/>
      <c r="AO296" s="7">
        <v>37988.18</v>
      </c>
      <c r="AP296" s="72">
        <v>2.9403999999999999</v>
      </c>
      <c r="AQ296" s="72">
        <v>1.8643000000000001</v>
      </c>
      <c r="AR296" s="72">
        <v>4.2682000000000002</v>
      </c>
      <c r="AS296" s="72"/>
      <c r="AT296" s="99">
        <v>2.2599999999999998</v>
      </c>
      <c r="AU296" s="7">
        <v>5876</v>
      </c>
      <c r="AV296" s="9"/>
      <c r="AW296" s="75"/>
      <c r="AX296" s="133"/>
      <c r="AY296" s="133"/>
    </row>
    <row r="297" spans="1:51" ht="18.75" customHeight="1" x14ac:dyDescent="0.25">
      <c r="A297" s="404"/>
      <c r="B297" s="83" t="s">
        <v>13</v>
      </c>
      <c r="C297" s="119">
        <v>56.15</v>
      </c>
      <c r="D297" s="7">
        <v>58101.21</v>
      </c>
      <c r="E297" s="9">
        <v>60769.56</v>
      </c>
      <c r="F297" s="91">
        <v>8.8699999999999992</v>
      </c>
      <c r="G297" s="7">
        <v>9178.23</v>
      </c>
      <c r="H297" s="9">
        <v>7356.32</v>
      </c>
      <c r="I297" s="96">
        <v>9.07</v>
      </c>
      <c r="J297" s="7">
        <v>11732.05</v>
      </c>
      <c r="K297" s="117">
        <v>12122.84</v>
      </c>
      <c r="L297" s="108">
        <v>0.96</v>
      </c>
      <c r="M297" s="7">
        <v>993.6</v>
      </c>
      <c r="N297" s="9">
        <v>3399.28</v>
      </c>
      <c r="O297" s="102">
        <v>1.8</v>
      </c>
      <c r="P297" s="7">
        <v>1242</v>
      </c>
      <c r="Q297" s="9">
        <v>3628.71</v>
      </c>
      <c r="R297" s="102"/>
      <c r="S297" s="7"/>
      <c r="T297" s="9"/>
      <c r="U297" s="102"/>
      <c r="V297" s="7"/>
      <c r="W297" s="9"/>
      <c r="X297" s="102"/>
      <c r="Y297" s="7"/>
      <c r="Z297" s="9"/>
      <c r="AA297" s="102"/>
      <c r="AB297" s="7"/>
      <c r="AC297" s="9"/>
      <c r="AD297" s="99">
        <v>34</v>
      </c>
      <c r="AE297" s="7">
        <v>349.69</v>
      </c>
      <c r="AF297" s="9"/>
      <c r="AG297" s="94"/>
      <c r="AH297" s="7"/>
      <c r="AI297" s="94"/>
      <c r="AJ297" s="7"/>
      <c r="AK297" s="9"/>
      <c r="AL297" s="9"/>
      <c r="AM297" s="9"/>
      <c r="AN297" s="9"/>
      <c r="AO297" s="7">
        <v>23819</v>
      </c>
      <c r="AP297" s="72">
        <v>2.0055000000000001</v>
      </c>
      <c r="AQ297" s="72">
        <v>1.4548000000000001</v>
      </c>
      <c r="AR297" s="72">
        <v>5.4059999999999997</v>
      </c>
      <c r="AS297" s="72"/>
      <c r="AT297" s="99"/>
      <c r="AU297" s="7"/>
      <c r="AV297" s="9"/>
      <c r="AW297" s="75"/>
      <c r="AX297" s="133"/>
      <c r="AY297" s="133"/>
    </row>
    <row r="298" spans="1:51" ht="18.75" customHeight="1" thickBot="1" x14ac:dyDescent="0.3">
      <c r="A298" s="404"/>
      <c r="B298" s="84" t="s">
        <v>14</v>
      </c>
      <c r="C298" s="120">
        <v>30.86</v>
      </c>
      <c r="D298" s="88">
        <v>31932.39</v>
      </c>
      <c r="E298" s="89">
        <v>44084.9</v>
      </c>
      <c r="F298" s="92"/>
      <c r="G298" s="88"/>
      <c r="H298" s="89"/>
      <c r="I298" s="97">
        <v>13.69</v>
      </c>
      <c r="J298" s="88">
        <v>17708</v>
      </c>
      <c r="K298" s="121">
        <v>22997.81</v>
      </c>
      <c r="L298" s="109"/>
      <c r="M298" s="88"/>
      <c r="N298" s="89"/>
      <c r="O298" s="103">
        <v>1.81</v>
      </c>
      <c r="P298" s="88">
        <v>1248.9000000000001</v>
      </c>
      <c r="Q298" s="89">
        <v>3448.73</v>
      </c>
      <c r="R298" s="103"/>
      <c r="S298" s="88"/>
      <c r="T298" s="89"/>
      <c r="U298" s="103"/>
      <c r="V298" s="88"/>
      <c r="W298" s="89"/>
      <c r="X298" s="103"/>
      <c r="Y298" s="88"/>
      <c r="Z298" s="89"/>
      <c r="AA298" s="103">
        <v>0.83</v>
      </c>
      <c r="AB298" s="88">
        <v>1908.17</v>
      </c>
      <c r="AC298" s="89">
        <v>3448.73</v>
      </c>
      <c r="AD298" s="100"/>
      <c r="AE298" s="88"/>
      <c r="AF298" s="89"/>
      <c r="AG298" s="95"/>
      <c r="AH298" s="62"/>
      <c r="AI298" s="95"/>
      <c r="AJ298" s="62"/>
      <c r="AK298" s="65"/>
      <c r="AL298" s="65">
        <v>9377.75</v>
      </c>
      <c r="AM298" s="65"/>
      <c r="AN298" s="65">
        <v>71535.5</v>
      </c>
      <c r="AO298" s="62">
        <v>23770.33</v>
      </c>
      <c r="AP298" s="73">
        <v>1.9197</v>
      </c>
      <c r="AQ298" s="73">
        <v>1.6035999999999999</v>
      </c>
      <c r="AR298" s="73">
        <v>5.0903999999999998</v>
      </c>
      <c r="AS298" s="73"/>
      <c r="AT298" s="100">
        <v>1.54</v>
      </c>
      <c r="AU298" s="88">
        <v>4928</v>
      </c>
      <c r="AV298" s="89">
        <v>2603.37</v>
      </c>
      <c r="AW298" s="76"/>
      <c r="AX298" s="133"/>
      <c r="AY298" s="133"/>
    </row>
    <row r="299" spans="1:51" ht="18.75" customHeight="1" thickBot="1" x14ac:dyDescent="0.3">
      <c r="A299" s="404"/>
      <c r="B299" s="106" t="s">
        <v>15</v>
      </c>
      <c r="C299" s="122" t="e">
        <f t="shared" ref="C299:AW299" si="59">SUM(C287:C298)</f>
        <v>#REF!</v>
      </c>
      <c r="D299" s="124" t="e">
        <f t="shared" si="59"/>
        <v>#REF!</v>
      </c>
      <c r="E299" s="124">
        <f t="shared" si="59"/>
        <v>1093717.42</v>
      </c>
      <c r="F299" s="123" t="e">
        <f t="shared" si="59"/>
        <v>#REF!</v>
      </c>
      <c r="G299" s="124" t="e">
        <f t="shared" si="59"/>
        <v>#REF!</v>
      </c>
      <c r="H299" s="124">
        <f t="shared" si="59"/>
        <v>154651.17000000001</v>
      </c>
      <c r="I299" s="123" t="e">
        <f t="shared" si="59"/>
        <v>#REF!</v>
      </c>
      <c r="J299" s="124" t="e">
        <f t="shared" si="59"/>
        <v>#REF!</v>
      </c>
      <c r="K299" s="157">
        <f t="shared" si="59"/>
        <v>101661.02499999999</v>
      </c>
      <c r="L299" s="158">
        <f t="shared" si="59"/>
        <v>30.150000000000002</v>
      </c>
      <c r="M299" s="67">
        <f t="shared" si="59"/>
        <v>15179.09</v>
      </c>
      <c r="N299" s="67">
        <f t="shared" si="59"/>
        <v>68835.415000000008</v>
      </c>
      <c r="O299" s="159">
        <f t="shared" si="59"/>
        <v>32.820000000000007</v>
      </c>
      <c r="P299" s="67">
        <f t="shared" si="59"/>
        <v>22645.800000000003</v>
      </c>
      <c r="Q299" s="67">
        <f t="shared" si="59"/>
        <v>59910.625</v>
      </c>
      <c r="R299" s="159">
        <f t="shared" si="59"/>
        <v>5.24</v>
      </c>
      <c r="S299" s="67">
        <f t="shared" si="59"/>
        <v>8548.2739999999994</v>
      </c>
      <c r="T299" s="67">
        <f t="shared" si="59"/>
        <v>3349.835</v>
      </c>
      <c r="U299" s="159">
        <f t="shared" si="59"/>
        <v>56.61</v>
      </c>
      <c r="V299" s="67">
        <f t="shared" si="59"/>
        <v>23091.1535</v>
      </c>
      <c r="W299" s="67">
        <f>SUM(W287:W298)</f>
        <v>24009.96</v>
      </c>
      <c r="X299" s="69">
        <f t="shared" si="59"/>
        <v>0</v>
      </c>
      <c r="Y299" s="67">
        <f t="shared" si="59"/>
        <v>0</v>
      </c>
      <c r="Z299" s="67">
        <f t="shared" si="59"/>
        <v>0</v>
      </c>
      <c r="AA299" s="69">
        <f t="shared" si="59"/>
        <v>6.2200000000000006</v>
      </c>
      <c r="AB299" s="67">
        <f t="shared" si="59"/>
        <v>14299.76</v>
      </c>
      <c r="AC299" s="67">
        <f t="shared" si="59"/>
        <v>11165</v>
      </c>
      <c r="AD299" s="68">
        <f t="shared" si="59"/>
        <v>37.44</v>
      </c>
      <c r="AE299" s="67">
        <f>SUM(AE287:AE298)</f>
        <v>349.69</v>
      </c>
      <c r="AF299" s="67">
        <f>SUM(AF287:AF298)</f>
        <v>0</v>
      </c>
      <c r="AG299" s="68">
        <f t="shared" ref="AG299:AH299" si="60">SUM(AG287:AG298)</f>
        <v>0</v>
      </c>
      <c r="AH299" s="67">
        <f t="shared" si="60"/>
        <v>0</v>
      </c>
      <c r="AI299" s="68">
        <f t="shared" si="59"/>
        <v>0</v>
      </c>
      <c r="AJ299" s="67">
        <f t="shared" si="59"/>
        <v>522.72</v>
      </c>
      <c r="AK299" s="80">
        <f t="shared" si="59"/>
        <v>90564.68</v>
      </c>
      <c r="AL299" s="71"/>
      <c r="AM299" s="71">
        <f t="shared" si="59"/>
        <v>3853.6</v>
      </c>
      <c r="AN299" s="71">
        <f t="shared" si="59"/>
        <v>205799.5</v>
      </c>
      <c r="AO299" s="67">
        <f t="shared" si="59"/>
        <v>361586.65</v>
      </c>
      <c r="AP299" s="74">
        <f t="shared" si="59"/>
        <v>29.258099999999999</v>
      </c>
      <c r="AQ299" s="74">
        <f t="shared" si="59"/>
        <v>16.198699999999999</v>
      </c>
      <c r="AR299" s="74">
        <f t="shared" si="59"/>
        <v>50.329000000000001</v>
      </c>
      <c r="AS299" s="74">
        <f t="shared" si="59"/>
        <v>0</v>
      </c>
      <c r="AT299" s="68">
        <f t="shared" ref="AT299:AU299" si="61">SUM(AT287:AT298)</f>
        <v>12.04</v>
      </c>
      <c r="AU299" s="67">
        <f t="shared" si="61"/>
        <v>41258</v>
      </c>
      <c r="AV299" s="67">
        <f>SUM(AV287:AV298)</f>
        <v>16765.16</v>
      </c>
      <c r="AW299" s="77">
        <f t="shared" si="59"/>
        <v>4077</v>
      </c>
      <c r="AX299" s="133"/>
      <c r="AY299" s="133"/>
    </row>
    <row r="300" spans="1:51" ht="18.75" customHeight="1" thickBot="1" x14ac:dyDescent="0.3">
      <c r="A300" s="404"/>
      <c r="D300" s="420" t="e">
        <f>SUM(E299+D299)</f>
        <v>#REF!</v>
      </c>
      <c r="E300" s="421"/>
      <c r="G300" s="420" t="e">
        <f>SUM(H299+G299)</f>
        <v>#REF!</v>
      </c>
      <c r="H300" s="421"/>
      <c r="J300" s="420" t="e">
        <f>SUM(K299+J299)</f>
        <v>#REF!</v>
      </c>
      <c r="K300" s="421"/>
      <c r="M300" s="420">
        <f>SUM(N299+M299)</f>
        <v>84014.505000000005</v>
      </c>
      <c r="N300" s="421"/>
      <c r="P300" s="420">
        <f>SUM(Q299+P299)</f>
        <v>82556.425000000003</v>
      </c>
      <c r="Q300" s="421"/>
      <c r="S300" s="420">
        <f>SUM(T299+S299)</f>
        <v>11898.109</v>
      </c>
      <c r="T300" s="421"/>
      <c r="V300" s="420">
        <f>SUM(W299+V299)</f>
        <v>47101.113499999999</v>
      </c>
      <c r="W300" s="421"/>
      <c r="Y300" s="420">
        <f>SUM(Z299+Y299)</f>
        <v>0</v>
      </c>
      <c r="Z300" s="421"/>
      <c r="AB300" s="420">
        <f>SUM(AC299+AB299)</f>
        <v>25464.760000000002</v>
      </c>
      <c r="AC300" s="421"/>
      <c r="AE300" s="420">
        <f>SUM(AF299+AE299)</f>
        <v>349.69</v>
      </c>
      <c r="AF300" s="421"/>
    </row>
    <row r="301" spans="1:51" ht="18.75" customHeight="1" x14ac:dyDescent="0.3">
      <c r="A301" s="404"/>
      <c r="B301" s="437" t="s">
        <v>203</v>
      </c>
      <c r="C301" s="438"/>
      <c r="D301" s="441" t="e">
        <f>SUM(D300+G300+J300+M300+P300+S300+V300+Y300+AB300+AE300)+AO299+AV299-AU299-AN299-AM299-AL299</f>
        <v>#REF!</v>
      </c>
      <c r="E301" s="442"/>
      <c r="F301" s="181"/>
      <c r="G301" s="180"/>
      <c r="H301" s="180"/>
      <c r="I301" s="181"/>
      <c r="J301" s="180"/>
      <c r="K301" s="180"/>
      <c r="L301" s="181"/>
      <c r="M301" s="180"/>
      <c r="N301" s="180"/>
      <c r="O301" s="181"/>
      <c r="P301" s="180"/>
      <c r="Q301" s="180"/>
      <c r="R301" s="181"/>
      <c r="S301" s="180"/>
      <c r="T301" s="180"/>
      <c r="U301" s="181"/>
      <c r="V301" s="180"/>
      <c r="W301" s="180"/>
      <c r="X301" s="181"/>
      <c r="Y301" s="180"/>
      <c r="Z301" s="180"/>
      <c r="AA301" s="181"/>
      <c r="AB301" s="180"/>
      <c r="AC301" s="180"/>
      <c r="AD301" s="181"/>
      <c r="AE301" s="180"/>
      <c r="AF301" s="180"/>
      <c r="AH301" s="181"/>
      <c r="AI301" s="181"/>
      <c r="AJ301" s="181"/>
      <c r="AK301" s="181"/>
    </row>
    <row r="302" spans="1:51" ht="18.75" customHeight="1" x14ac:dyDescent="0.3">
      <c r="A302" s="404"/>
      <c r="B302" s="439" t="s">
        <v>206</v>
      </c>
      <c r="C302" s="440"/>
      <c r="D302" s="443" t="e">
        <f>SUM(C299+F299+I299+L299+O299)</f>
        <v>#REF!</v>
      </c>
      <c r="E302" s="36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</row>
    <row r="303" spans="1:51" ht="18.75" customHeight="1" thickBot="1" x14ac:dyDescent="0.35">
      <c r="A303" s="405"/>
      <c r="B303" s="435" t="s">
        <v>207</v>
      </c>
      <c r="C303" s="436"/>
      <c r="D303" s="444">
        <f>SUM(E299+H299+K299+N299+Q299)</f>
        <v>1478775.6549999998</v>
      </c>
      <c r="E303" s="36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  <c r="AB303" s="177"/>
      <c r="AC303" s="177"/>
      <c r="AD303" s="177"/>
      <c r="AE303" s="177"/>
      <c r="AF303" s="177"/>
      <c r="AG303" s="177"/>
      <c r="AH303" s="177"/>
      <c r="AI303" s="177"/>
      <c r="AJ303" s="177"/>
      <c r="AK303" s="177"/>
    </row>
    <row r="304" spans="1:51" ht="18.75" customHeight="1" x14ac:dyDescent="0.25">
      <c r="O304" t="s">
        <v>205</v>
      </c>
    </row>
    <row r="305" spans="1:51" ht="18.75" customHeight="1" x14ac:dyDescent="0.25"/>
    <row r="306" spans="1:51" ht="18.75" customHeight="1" thickBot="1" x14ac:dyDescent="0.35">
      <c r="B306" s="12" t="s">
        <v>96</v>
      </c>
      <c r="C306" s="6"/>
      <c r="D306" s="6"/>
      <c r="E306" s="6"/>
      <c r="F306" s="6"/>
      <c r="G306" s="81" t="s">
        <v>16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8"/>
      <c r="S306" s="8"/>
      <c r="T306" s="8"/>
      <c r="U306" s="8"/>
      <c r="V306" s="417" t="s">
        <v>99</v>
      </c>
      <c r="W306" s="418"/>
      <c r="X306" s="418"/>
      <c r="Y306" s="419"/>
      <c r="Z306" s="8"/>
      <c r="AA306" s="8"/>
      <c r="AB306" s="8"/>
      <c r="AC306" s="8"/>
      <c r="AY306" s="132"/>
    </row>
    <row r="307" spans="1:51" ht="56.25" customHeight="1" x14ac:dyDescent="0.25">
      <c r="A307" s="403" t="s">
        <v>210</v>
      </c>
      <c r="B307" s="13" t="s">
        <v>0</v>
      </c>
      <c r="C307" s="20" t="s">
        <v>24</v>
      </c>
      <c r="D307" s="20" t="s">
        <v>22</v>
      </c>
      <c r="E307" s="20" t="s">
        <v>23</v>
      </c>
      <c r="F307" s="20" t="s">
        <v>26</v>
      </c>
      <c r="G307" s="20" t="s">
        <v>20</v>
      </c>
      <c r="H307" s="432" t="s">
        <v>114</v>
      </c>
      <c r="I307" s="433"/>
      <c r="J307" s="432" t="s">
        <v>63</v>
      </c>
      <c r="K307" s="433"/>
      <c r="L307" s="432" t="s">
        <v>62</v>
      </c>
      <c r="M307" s="433"/>
      <c r="N307" s="432" t="s">
        <v>152</v>
      </c>
      <c r="O307" s="433"/>
      <c r="P307" s="432" t="s">
        <v>25</v>
      </c>
      <c r="Q307" s="433"/>
      <c r="R307" s="14" t="s">
        <v>19</v>
      </c>
      <c r="S307" s="14" t="s">
        <v>97</v>
      </c>
      <c r="T307" s="14" t="s">
        <v>101</v>
      </c>
      <c r="U307" s="14" t="s">
        <v>66</v>
      </c>
      <c r="V307" s="20" t="s">
        <v>117</v>
      </c>
      <c r="W307" s="14" t="s">
        <v>90</v>
      </c>
      <c r="X307" s="14" t="s">
        <v>91</v>
      </c>
      <c r="Y307" s="14" t="s">
        <v>27</v>
      </c>
      <c r="Z307" s="14" t="s">
        <v>100</v>
      </c>
      <c r="AA307" s="14" t="s">
        <v>28</v>
      </c>
      <c r="AB307" s="22" t="s">
        <v>92</v>
      </c>
      <c r="AC307" s="22" t="s">
        <v>94</v>
      </c>
      <c r="AY307" s="133"/>
    </row>
    <row r="308" spans="1:51" ht="18.75" customHeight="1" thickBot="1" x14ac:dyDescent="0.3">
      <c r="A308" s="404"/>
      <c r="B308" s="15"/>
      <c r="C308" s="16"/>
      <c r="D308" s="17"/>
      <c r="E308" s="17"/>
      <c r="F308" s="18" t="s">
        <v>2</v>
      </c>
      <c r="G308" s="18" t="s">
        <v>1</v>
      </c>
      <c r="H308" s="18" t="s">
        <v>17</v>
      </c>
      <c r="I308" s="18" t="s">
        <v>18</v>
      </c>
      <c r="J308" s="18" t="s">
        <v>17</v>
      </c>
      <c r="K308" s="18" t="s">
        <v>18</v>
      </c>
      <c r="L308" s="18" t="s">
        <v>17</v>
      </c>
      <c r="M308" s="18" t="s">
        <v>18</v>
      </c>
      <c r="N308" s="18" t="s">
        <v>17</v>
      </c>
      <c r="O308" s="18" t="s">
        <v>18</v>
      </c>
      <c r="P308" s="18" t="s">
        <v>17</v>
      </c>
      <c r="Q308" s="18" t="s">
        <v>18</v>
      </c>
      <c r="R308" s="18" t="s">
        <v>18</v>
      </c>
      <c r="S308" s="18" t="s">
        <v>98</v>
      </c>
      <c r="T308" s="18" t="s">
        <v>98</v>
      </c>
      <c r="U308" s="18" t="s">
        <v>98</v>
      </c>
      <c r="V308" s="18" t="s">
        <v>116</v>
      </c>
      <c r="W308" s="18" t="s">
        <v>17</v>
      </c>
      <c r="X308" s="18" t="s">
        <v>17</v>
      </c>
      <c r="Y308" s="18" t="s">
        <v>17</v>
      </c>
      <c r="Z308" s="18" t="s">
        <v>17</v>
      </c>
      <c r="AA308" s="18" t="s">
        <v>17</v>
      </c>
      <c r="AB308" s="18" t="s">
        <v>18</v>
      </c>
      <c r="AC308" s="18" t="s">
        <v>93</v>
      </c>
      <c r="AY308" s="133"/>
    </row>
    <row r="309" spans="1:51" ht="18.75" customHeight="1" x14ac:dyDescent="0.25">
      <c r="A309" s="404"/>
      <c r="B309" s="234" t="s">
        <v>3</v>
      </c>
      <c r="C309" s="2"/>
      <c r="D309" s="2">
        <v>59.21</v>
      </c>
      <c r="E309" s="2">
        <v>8.4</v>
      </c>
      <c r="F309" s="3">
        <v>72132.947500000009</v>
      </c>
      <c r="G309" s="3">
        <v>91552.4</v>
      </c>
      <c r="H309" s="59"/>
      <c r="I309" s="3"/>
      <c r="J309" s="23"/>
      <c r="K309" s="3"/>
      <c r="L309" s="23"/>
      <c r="M309" s="3"/>
      <c r="N309" s="59"/>
      <c r="O309" s="3"/>
      <c r="P309" s="60"/>
      <c r="Q309" s="3"/>
      <c r="R309" s="21"/>
      <c r="S309" s="21"/>
      <c r="T309" s="21"/>
      <c r="U309" s="21"/>
      <c r="V309" s="3">
        <v>17837</v>
      </c>
      <c r="W309" s="72">
        <v>1.1820999999999999</v>
      </c>
      <c r="X309" s="72">
        <v>0.97240000000000004</v>
      </c>
      <c r="Y309" s="72">
        <v>5.0430999999999999</v>
      </c>
      <c r="Z309" s="72"/>
      <c r="AA309" s="72"/>
      <c r="AB309" s="75"/>
      <c r="AC309" s="75">
        <v>136</v>
      </c>
      <c r="AY309" s="133"/>
    </row>
    <row r="310" spans="1:51" ht="18.75" customHeight="1" x14ac:dyDescent="0.25">
      <c r="A310" s="404"/>
      <c r="B310" s="215" t="s">
        <v>4</v>
      </c>
      <c r="C310" s="6"/>
      <c r="D310" s="6">
        <v>25.58</v>
      </c>
      <c r="E310" s="6">
        <v>5.3</v>
      </c>
      <c r="F310" s="7">
        <v>33324.455000000002</v>
      </c>
      <c r="G310" s="7">
        <v>48050</v>
      </c>
      <c r="H310" s="60"/>
      <c r="I310" s="7"/>
      <c r="J310" s="24">
        <v>1.48</v>
      </c>
      <c r="K310" s="7">
        <v>647</v>
      </c>
      <c r="L310" s="24"/>
      <c r="M310" s="7"/>
      <c r="N310" s="60"/>
      <c r="O310" s="7"/>
      <c r="P310" s="60"/>
      <c r="Q310" s="7"/>
      <c r="R310" s="9">
        <v>33800</v>
      </c>
      <c r="S310" s="9"/>
      <c r="T310" s="9"/>
      <c r="U310" s="9"/>
      <c r="V310" s="7">
        <v>16232</v>
      </c>
      <c r="W310" s="72">
        <v>1.2903</v>
      </c>
      <c r="X310" s="72">
        <v>0.45050000000000001</v>
      </c>
      <c r="Y310" s="72">
        <v>2.7890000000000001</v>
      </c>
      <c r="Z310" s="72"/>
      <c r="AA310" s="72"/>
      <c r="AB310" s="75"/>
      <c r="AC310" s="75">
        <v>296</v>
      </c>
      <c r="AY310" s="133"/>
    </row>
    <row r="311" spans="1:51" ht="18.75" customHeight="1" x14ac:dyDescent="0.25">
      <c r="A311" s="404"/>
      <c r="B311" s="215" t="s">
        <v>5</v>
      </c>
      <c r="C311" s="6"/>
      <c r="D311" s="6">
        <v>73.069999999999993</v>
      </c>
      <c r="E311" s="32">
        <v>4.3899999999999997</v>
      </c>
      <c r="F311" s="7">
        <v>81287.647499999992</v>
      </c>
      <c r="G311" s="7">
        <v>89574.1</v>
      </c>
      <c r="H311" s="60"/>
      <c r="I311" s="7"/>
      <c r="J311" s="24"/>
      <c r="K311" s="7"/>
      <c r="L311" s="24"/>
      <c r="M311" s="7"/>
      <c r="N311" s="60"/>
      <c r="O311" s="7"/>
      <c r="P311" s="60"/>
      <c r="Q311" s="7"/>
      <c r="R311" s="9"/>
      <c r="S311" s="9">
        <v>1071.1500000000001</v>
      </c>
      <c r="T311" s="9"/>
      <c r="U311" s="9">
        <v>45350</v>
      </c>
      <c r="V311" s="7">
        <v>14691</v>
      </c>
      <c r="W311" s="72">
        <v>1.0742</v>
      </c>
      <c r="X311" s="72">
        <v>0</v>
      </c>
      <c r="Y311" s="72">
        <v>2.3866999999999998</v>
      </c>
      <c r="Z311" s="72"/>
      <c r="AA311" s="72">
        <v>1.8</v>
      </c>
      <c r="AB311" s="75">
        <v>8640</v>
      </c>
      <c r="AC311" s="75">
        <v>290</v>
      </c>
      <c r="AY311" s="133"/>
    </row>
    <row r="312" spans="1:51" ht="18.75" customHeight="1" x14ac:dyDescent="0.25">
      <c r="A312" s="404"/>
      <c r="B312" s="215" t="s">
        <v>6</v>
      </c>
      <c r="C312" s="6"/>
      <c r="D312" s="6">
        <v>97.859999999999985</v>
      </c>
      <c r="E312" s="32">
        <v>8.26</v>
      </c>
      <c r="F312" s="7">
        <v>111944.94499999999</v>
      </c>
      <c r="G312" s="7">
        <v>134263.20000000001</v>
      </c>
      <c r="H312" s="60"/>
      <c r="I312" s="7"/>
      <c r="J312" s="24"/>
      <c r="K312" s="7"/>
      <c r="L312" s="24"/>
      <c r="M312" s="7"/>
      <c r="N312" s="60"/>
      <c r="O312" s="7"/>
      <c r="P312" s="60"/>
      <c r="Q312" s="7"/>
      <c r="R312" s="9">
        <v>18150</v>
      </c>
      <c r="S312" s="9"/>
      <c r="T312" s="9"/>
      <c r="U312" s="9"/>
      <c r="V312" s="7">
        <v>20775</v>
      </c>
      <c r="W312" s="72">
        <v>1.9204000000000001</v>
      </c>
      <c r="X312" s="72">
        <v>0.4824</v>
      </c>
      <c r="Y312" s="72">
        <v>3.5573000000000001</v>
      </c>
      <c r="Z312" s="72"/>
      <c r="AA312" s="72">
        <v>1.32</v>
      </c>
      <c r="AB312" s="75">
        <v>6336</v>
      </c>
      <c r="AC312" s="75">
        <v>503</v>
      </c>
      <c r="AY312" s="133"/>
    </row>
    <row r="313" spans="1:51" ht="18.75" customHeight="1" x14ac:dyDescent="0.25">
      <c r="A313" s="404"/>
      <c r="B313" s="215" t="s">
        <v>7</v>
      </c>
      <c r="C313" s="6"/>
      <c r="D313" s="57">
        <v>127.16</v>
      </c>
      <c r="E313" s="32">
        <v>5.74</v>
      </c>
      <c r="F313" s="7">
        <v>139003.49999999997</v>
      </c>
      <c r="G313" s="7">
        <v>166496.5</v>
      </c>
      <c r="H313" s="60"/>
      <c r="I313" s="7"/>
      <c r="J313" s="24">
        <v>3.56</v>
      </c>
      <c r="K313" s="7">
        <v>1556</v>
      </c>
      <c r="L313" s="24"/>
      <c r="M313" s="7"/>
      <c r="N313" s="60">
        <v>4.8000000000000001E-2</v>
      </c>
      <c r="O313" s="7">
        <v>1485</v>
      </c>
      <c r="P313" s="60"/>
      <c r="Q313" s="7"/>
      <c r="R313" s="9">
        <v>16700</v>
      </c>
      <c r="S313" s="9"/>
      <c r="T313" s="9"/>
      <c r="U313" s="9"/>
      <c r="V313" s="7">
        <v>29733</v>
      </c>
      <c r="W313" s="72">
        <v>2.1339999999999999</v>
      </c>
      <c r="X313" s="72">
        <v>0.73080000000000001</v>
      </c>
      <c r="Y313" s="72">
        <v>4.1138000000000003</v>
      </c>
      <c r="Z313" s="72"/>
      <c r="AA313" s="72"/>
      <c r="AB313" s="75"/>
      <c r="AC313" s="75">
        <v>678</v>
      </c>
      <c r="AY313" s="133"/>
    </row>
    <row r="314" spans="1:51" ht="18.75" customHeight="1" x14ac:dyDescent="0.25">
      <c r="A314" s="404"/>
      <c r="B314" s="215" t="s">
        <v>8</v>
      </c>
      <c r="C314" s="6"/>
      <c r="D314" s="57">
        <v>98.939999999999984</v>
      </c>
      <c r="E314" s="32">
        <v>12.36</v>
      </c>
      <c r="F314" s="7">
        <v>118365.82499999998</v>
      </c>
      <c r="G314" s="7">
        <v>135548</v>
      </c>
      <c r="H314" s="60"/>
      <c r="I314" s="7"/>
      <c r="J314" s="24">
        <v>4.2</v>
      </c>
      <c r="K314" s="7">
        <v>1835</v>
      </c>
      <c r="L314" s="24"/>
      <c r="M314" s="7"/>
      <c r="N314" s="60"/>
      <c r="O314" s="7"/>
      <c r="P314" s="60">
        <v>2.71</v>
      </c>
      <c r="Q314" s="7">
        <v>6230</v>
      </c>
      <c r="R314" s="9"/>
      <c r="S314" s="9">
        <v>2895.9</v>
      </c>
      <c r="T314" s="9"/>
      <c r="U314" s="9">
        <v>57052</v>
      </c>
      <c r="V314" s="7">
        <v>25538</v>
      </c>
      <c r="W314" s="72">
        <v>1.7002999999999999</v>
      </c>
      <c r="X314" s="72">
        <v>0.91400000000000003</v>
      </c>
      <c r="Y314" s="72">
        <v>3.2187000000000001</v>
      </c>
      <c r="Z314" s="72"/>
      <c r="AA314" s="72">
        <v>2.52</v>
      </c>
      <c r="AB314" s="75">
        <v>11844</v>
      </c>
      <c r="AC314" s="75">
        <v>428</v>
      </c>
      <c r="AY314" s="133"/>
    </row>
    <row r="315" spans="1:51" ht="18.75" customHeight="1" x14ac:dyDescent="0.25">
      <c r="A315" s="404"/>
      <c r="B315" s="215" t="s">
        <v>9</v>
      </c>
      <c r="C315" s="6"/>
      <c r="D315" s="57">
        <v>120.9</v>
      </c>
      <c r="E315" s="32">
        <v>6.3100000000000005</v>
      </c>
      <c r="F315" s="7">
        <v>133263.26</v>
      </c>
      <c r="G315" s="7">
        <v>155119.1</v>
      </c>
      <c r="H315" s="60"/>
      <c r="I315" s="7"/>
      <c r="J315" s="24"/>
      <c r="K315" s="7"/>
      <c r="L315" s="24"/>
      <c r="M315" s="33"/>
      <c r="N315" s="60"/>
      <c r="O315" s="7"/>
      <c r="P315" s="60"/>
      <c r="Q315" s="7"/>
      <c r="R315" s="9"/>
      <c r="S315" s="9"/>
      <c r="T315" s="9"/>
      <c r="U315" s="9"/>
      <c r="V315" s="7">
        <v>25538</v>
      </c>
      <c r="W315" s="72">
        <v>1.8013999999999999</v>
      </c>
      <c r="X315" s="72">
        <v>2.16</v>
      </c>
      <c r="Y315" s="72">
        <v>5.0500999999999996</v>
      </c>
      <c r="Z315" s="72"/>
      <c r="AA315" s="72"/>
      <c r="AB315" s="75"/>
      <c r="AC315" s="75">
        <v>490</v>
      </c>
      <c r="AY315" s="133"/>
    </row>
    <row r="316" spans="1:51" ht="18.75" customHeight="1" x14ac:dyDescent="0.25">
      <c r="A316" s="404"/>
      <c r="B316" s="215" t="s">
        <v>10</v>
      </c>
      <c r="C316" s="6"/>
      <c r="D316" s="57">
        <v>130.23999999999998</v>
      </c>
      <c r="E316" s="32">
        <v>14.370000000000001</v>
      </c>
      <c r="F316" s="7">
        <v>153353.43500000006</v>
      </c>
      <c r="G316" s="7">
        <v>185005.4</v>
      </c>
      <c r="H316" s="60"/>
      <c r="I316" s="7"/>
      <c r="J316" s="24">
        <v>3.25</v>
      </c>
      <c r="K316" s="7">
        <v>1420</v>
      </c>
      <c r="L316" s="24"/>
      <c r="M316" s="7"/>
      <c r="N316" s="60"/>
      <c r="O316" s="7"/>
      <c r="P316" s="60"/>
      <c r="Q316" s="7"/>
      <c r="R316" s="9"/>
      <c r="S316" s="9"/>
      <c r="T316" s="9"/>
      <c r="U316" s="9"/>
      <c r="V316" s="7">
        <v>30017</v>
      </c>
      <c r="W316" s="72">
        <v>2.2351000000000001</v>
      </c>
      <c r="X316" s="72">
        <v>0.99490000000000001</v>
      </c>
      <c r="Y316" s="72">
        <v>5.4684999999999997</v>
      </c>
      <c r="Z316" s="72"/>
      <c r="AA316" s="72">
        <v>1.68</v>
      </c>
      <c r="AB316" s="75">
        <v>7896</v>
      </c>
      <c r="AC316" s="75">
        <v>336</v>
      </c>
      <c r="AY316" s="133"/>
    </row>
    <row r="317" spans="1:51" ht="18.75" customHeight="1" x14ac:dyDescent="0.25">
      <c r="A317" s="404"/>
      <c r="B317" s="215" t="s">
        <v>11</v>
      </c>
      <c r="C317" s="6"/>
      <c r="D317" s="57">
        <v>98.049999999999983</v>
      </c>
      <c r="E317" s="32">
        <v>10.41</v>
      </c>
      <c r="F317" s="7">
        <v>114922.57249999999</v>
      </c>
      <c r="G317" s="7">
        <v>152675.20000000001</v>
      </c>
      <c r="H317" s="60">
        <v>4.1399999999999997</v>
      </c>
      <c r="I317" s="7">
        <v>45171</v>
      </c>
      <c r="J317" s="24">
        <v>1.93</v>
      </c>
      <c r="K317" s="7">
        <v>843</v>
      </c>
      <c r="L317" s="24"/>
      <c r="M317" s="7"/>
      <c r="N317" s="60"/>
      <c r="O317" s="7"/>
      <c r="P317" s="60"/>
      <c r="Q317" s="7"/>
      <c r="R317" s="9"/>
      <c r="S317" s="9">
        <v>2834.65</v>
      </c>
      <c r="T317" s="9">
        <v>176</v>
      </c>
      <c r="U317" s="9">
        <v>63664.5</v>
      </c>
      <c r="V317" s="7">
        <v>25538</v>
      </c>
      <c r="W317" s="72">
        <v>1.6795</v>
      </c>
      <c r="X317" s="72">
        <v>1.0401</v>
      </c>
      <c r="Y317" s="72">
        <v>4.8803999999999998</v>
      </c>
      <c r="Z317" s="72"/>
      <c r="AA317" s="72"/>
      <c r="AB317" s="75"/>
      <c r="AC317" s="75">
        <v>605</v>
      </c>
      <c r="AY317" s="133"/>
    </row>
    <row r="318" spans="1:51" ht="18.75" customHeight="1" x14ac:dyDescent="0.25">
      <c r="A318" s="404"/>
      <c r="B318" s="215" t="s">
        <v>12</v>
      </c>
      <c r="C318" s="6"/>
      <c r="D318" s="57">
        <v>105.57</v>
      </c>
      <c r="E318" s="32">
        <v>1.78</v>
      </c>
      <c r="F318" s="7">
        <v>111540.98750000002</v>
      </c>
      <c r="G318" s="7">
        <v>140624.79999999999</v>
      </c>
      <c r="H318" s="60"/>
      <c r="I318" s="7"/>
      <c r="J318" s="24"/>
      <c r="K318" s="7"/>
      <c r="L318" s="24"/>
      <c r="M318" s="7"/>
      <c r="N318" s="60"/>
      <c r="O318" s="7"/>
      <c r="P318" s="60"/>
      <c r="Q318" s="7"/>
      <c r="R318" s="9">
        <v>49800</v>
      </c>
      <c r="S318" s="9"/>
      <c r="T318" s="9"/>
      <c r="U318" s="9"/>
      <c r="V318" s="7">
        <v>21987</v>
      </c>
      <c r="W318" s="72">
        <v>1.2000999999999999</v>
      </c>
      <c r="X318" s="72">
        <v>0.82</v>
      </c>
      <c r="Y318" s="72">
        <v>3.0680000000000001</v>
      </c>
      <c r="Z318" s="72">
        <v>9.3795999999999999</v>
      </c>
      <c r="AA318" s="72">
        <v>1.54</v>
      </c>
      <c r="AB318" s="75">
        <v>6930</v>
      </c>
      <c r="AC318" s="75">
        <v>362</v>
      </c>
      <c r="AY318" s="133"/>
    </row>
    <row r="319" spans="1:51" ht="18.75" customHeight="1" x14ac:dyDescent="0.25">
      <c r="A319" s="404"/>
      <c r="B319" s="215" t="s">
        <v>13</v>
      </c>
      <c r="C319" s="6"/>
      <c r="D319" s="57">
        <v>83.95</v>
      </c>
      <c r="E319" s="32">
        <v>2.74</v>
      </c>
      <c r="F319" s="7">
        <v>90411.452500000029</v>
      </c>
      <c r="G319" s="7">
        <v>107595.4</v>
      </c>
      <c r="H319" s="60"/>
      <c r="I319" s="7"/>
      <c r="J319" s="24"/>
      <c r="K319" s="7"/>
      <c r="L319" s="24"/>
      <c r="M319" s="7"/>
      <c r="N319" s="60">
        <v>7.4999999999999997E-2</v>
      </c>
      <c r="O319" s="7">
        <v>1725</v>
      </c>
      <c r="P319" s="60"/>
      <c r="Q319" s="7"/>
      <c r="R319" s="9"/>
      <c r="S319" s="9"/>
      <c r="T319" s="9"/>
      <c r="U319" s="9"/>
      <c r="V319" s="7">
        <v>21987</v>
      </c>
      <c r="W319" s="72">
        <v>2.2393000000000001</v>
      </c>
      <c r="X319" s="72">
        <v>0.80759999999999998</v>
      </c>
      <c r="Y319" s="72">
        <v>5.0659999999999998</v>
      </c>
      <c r="Z319" s="72"/>
      <c r="AA319" s="72"/>
      <c r="AB319" s="75"/>
      <c r="AC319" s="75">
        <v>190</v>
      </c>
      <c r="AY319" s="133"/>
    </row>
    <row r="320" spans="1:51" ht="18.75" customHeight="1" thickBot="1" x14ac:dyDescent="0.3">
      <c r="A320" s="404"/>
      <c r="B320" s="222" t="s">
        <v>14</v>
      </c>
      <c r="C320" s="43"/>
      <c r="D320" s="79">
        <v>34.61</v>
      </c>
      <c r="E320" s="44">
        <v>0</v>
      </c>
      <c r="F320" s="62">
        <v>35812.697500000002</v>
      </c>
      <c r="G320" s="62">
        <v>45741.4</v>
      </c>
      <c r="H320" s="63"/>
      <c r="I320" s="62"/>
      <c r="J320" s="64"/>
      <c r="K320" s="62"/>
      <c r="L320" s="64"/>
      <c r="M320" s="62"/>
      <c r="N320" s="63"/>
      <c r="O320" s="62"/>
      <c r="P320" s="63"/>
      <c r="Q320" s="62"/>
      <c r="R320" s="65"/>
      <c r="S320" s="65"/>
      <c r="T320" s="9">
        <v>1208.4000000000001</v>
      </c>
      <c r="U320" s="65">
        <v>55385.5</v>
      </c>
      <c r="V320" s="62">
        <v>17343</v>
      </c>
      <c r="W320" s="73">
        <v>1.3998999999999999</v>
      </c>
      <c r="X320" s="73">
        <v>0.57479999999999998</v>
      </c>
      <c r="Y320" s="73">
        <v>3.5592999999999999</v>
      </c>
      <c r="Z320" s="73"/>
      <c r="AA320" s="73"/>
      <c r="AB320" s="76"/>
      <c r="AC320" s="76">
        <v>587</v>
      </c>
    </row>
    <row r="321" spans="1:29" ht="18.75" customHeight="1" thickBot="1" x14ac:dyDescent="0.3">
      <c r="A321" s="404"/>
      <c r="B321" s="235" t="s">
        <v>15</v>
      </c>
      <c r="C321" s="187">
        <f t="shared" ref="C321:H321" si="62">SUM(C309:C320)</f>
        <v>0</v>
      </c>
      <c r="D321" s="187">
        <f t="shared" si="62"/>
        <v>1055.1399999999999</v>
      </c>
      <c r="E321" s="66">
        <f t="shared" si="62"/>
        <v>80.06</v>
      </c>
      <c r="F321" s="67">
        <f t="shared" si="62"/>
        <v>1195363.7250000001</v>
      </c>
      <c r="G321" s="67">
        <f t="shared" si="62"/>
        <v>1452245.4999999998</v>
      </c>
      <c r="H321" s="68">
        <f t="shared" si="62"/>
        <v>4.1399999999999997</v>
      </c>
      <c r="I321" s="67">
        <f t="shared" ref="I321:AC321" si="63">SUM(I309:I320)</f>
        <v>45171</v>
      </c>
      <c r="J321" s="69">
        <f t="shared" si="63"/>
        <v>14.42</v>
      </c>
      <c r="K321" s="67">
        <f t="shared" si="63"/>
        <v>6301</v>
      </c>
      <c r="L321" s="69">
        <f t="shared" si="63"/>
        <v>0</v>
      </c>
      <c r="M321" s="69">
        <f t="shared" si="63"/>
        <v>0</v>
      </c>
      <c r="N321" s="68">
        <f t="shared" si="63"/>
        <v>0.123</v>
      </c>
      <c r="O321" s="67">
        <f t="shared" si="63"/>
        <v>3210</v>
      </c>
      <c r="P321" s="68">
        <f t="shared" si="63"/>
        <v>2.71</v>
      </c>
      <c r="Q321" s="67">
        <f t="shared" si="63"/>
        <v>6230</v>
      </c>
      <c r="R321" s="80">
        <f t="shared" si="63"/>
        <v>118450</v>
      </c>
      <c r="S321" s="71">
        <f t="shared" ref="S321" si="64">SUM(S309:S320)</f>
        <v>6801.7000000000007</v>
      </c>
      <c r="T321" s="71">
        <f t="shared" si="63"/>
        <v>1384.4</v>
      </c>
      <c r="U321" s="71">
        <f t="shared" si="63"/>
        <v>221452</v>
      </c>
      <c r="V321" s="67">
        <f t="shared" si="63"/>
        <v>267216</v>
      </c>
      <c r="W321" s="74">
        <f t="shared" si="63"/>
        <v>19.856599999999997</v>
      </c>
      <c r="X321" s="74">
        <f t="shared" si="63"/>
        <v>9.9475000000000016</v>
      </c>
      <c r="Y321" s="74">
        <f t="shared" si="63"/>
        <v>48.200900000000004</v>
      </c>
      <c r="Z321" s="74">
        <f t="shared" si="63"/>
        <v>9.3795999999999999</v>
      </c>
      <c r="AA321" s="74">
        <f t="shared" si="63"/>
        <v>8.86</v>
      </c>
      <c r="AB321" s="77">
        <f t="shared" si="63"/>
        <v>41646</v>
      </c>
      <c r="AC321" s="77">
        <f t="shared" si="63"/>
        <v>4901</v>
      </c>
    </row>
    <row r="322" spans="1:29" ht="18.75" customHeight="1" x14ac:dyDescent="0.35">
      <c r="A322" s="434"/>
      <c r="B322" s="437" t="s">
        <v>203</v>
      </c>
      <c r="C322" s="438"/>
      <c r="D322" s="231">
        <f>SUM(F321+G321+I321+K321+M321+O321+Q321+R321-S321-T321-U321+V321-AB321)</f>
        <v>2822903.1249999995</v>
      </c>
    </row>
    <row r="323" spans="1:29" ht="18.75" customHeight="1" x14ac:dyDescent="0.3">
      <c r="A323" s="434"/>
      <c r="B323" s="439" t="s">
        <v>206</v>
      </c>
      <c r="C323" s="440"/>
      <c r="D323" s="232">
        <f>SUM(E321+J321+L321+D321)</f>
        <v>1149.6199999999999</v>
      </c>
    </row>
    <row r="324" spans="1:29" ht="18.75" customHeight="1" thickBot="1" x14ac:dyDescent="0.35">
      <c r="A324" s="434"/>
      <c r="B324" s="435" t="s">
        <v>207</v>
      </c>
      <c r="C324" s="436"/>
      <c r="D324" s="233">
        <f>SUM(G309:G320)</f>
        <v>1452245.4999999998</v>
      </c>
    </row>
    <row r="325" spans="1:29" ht="18.75" customHeight="1" thickBot="1" x14ac:dyDescent="0.3">
      <c r="A325" s="405"/>
    </row>
    <row r="326" spans="1:29" ht="18.75" customHeight="1" x14ac:dyDescent="0.25">
      <c r="B326" s="10" t="s">
        <v>21</v>
      </c>
      <c r="C326" s="1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4"/>
      <c r="S326" s="4"/>
      <c r="T326" s="4"/>
      <c r="U326" s="4"/>
      <c r="V326" s="2"/>
      <c r="W326" s="429"/>
      <c r="X326" s="430"/>
      <c r="Y326" s="431"/>
      <c r="Z326" s="4"/>
      <c r="AA326" s="4"/>
      <c r="AB326" s="4"/>
      <c r="AC326" s="4"/>
    </row>
    <row r="327" spans="1:29" ht="18.75" customHeight="1" thickBot="1" x14ac:dyDescent="0.3">
      <c r="B327" s="168" t="s">
        <v>95</v>
      </c>
      <c r="C327" s="6"/>
      <c r="D327" s="6"/>
      <c r="E327" s="6"/>
      <c r="F327" s="6"/>
      <c r="G327" s="81" t="s">
        <v>16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8"/>
      <c r="S327" s="8"/>
      <c r="T327" s="8"/>
      <c r="U327" s="8"/>
      <c r="V327" s="417" t="s">
        <v>99</v>
      </c>
      <c r="W327" s="418"/>
      <c r="X327" s="418"/>
      <c r="Y327" s="428"/>
      <c r="Z327" s="8"/>
      <c r="AA327" s="8"/>
      <c r="AB327" s="8"/>
      <c r="AC327" s="8"/>
    </row>
    <row r="328" spans="1:29" ht="56.25" customHeight="1" x14ac:dyDescent="0.25">
      <c r="A328" s="403" t="s">
        <v>211</v>
      </c>
      <c r="B328" s="13" t="s">
        <v>0</v>
      </c>
      <c r="C328" s="20" t="s">
        <v>24</v>
      </c>
      <c r="D328" s="20" t="s">
        <v>22</v>
      </c>
      <c r="E328" s="20" t="s">
        <v>23</v>
      </c>
      <c r="F328" s="20" t="s">
        <v>26</v>
      </c>
      <c r="G328" s="20" t="s">
        <v>20</v>
      </c>
      <c r="H328" s="427" t="s">
        <v>114</v>
      </c>
      <c r="I328" s="427"/>
      <c r="J328" s="427" t="s">
        <v>63</v>
      </c>
      <c r="K328" s="427"/>
      <c r="L328" s="432" t="s">
        <v>62</v>
      </c>
      <c r="M328" s="433"/>
      <c r="N328" s="427" t="s">
        <v>152</v>
      </c>
      <c r="O328" s="427"/>
      <c r="P328" s="427" t="s">
        <v>25</v>
      </c>
      <c r="Q328" s="427"/>
      <c r="R328" s="14" t="s">
        <v>19</v>
      </c>
      <c r="S328" s="14" t="s">
        <v>97</v>
      </c>
      <c r="T328" s="14" t="s">
        <v>101</v>
      </c>
      <c r="U328" s="14" t="s">
        <v>66</v>
      </c>
      <c r="V328" s="20" t="s">
        <v>117</v>
      </c>
      <c r="W328" s="14" t="s">
        <v>90</v>
      </c>
      <c r="X328" s="14" t="s">
        <v>91</v>
      </c>
      <c r="Y328" s="14" t="s">
        <v>27</v>
      </c>
      <c r="Z328" s="14" t="s">
        <v>100</v>
      </c>
      <c r="AA328" s="14" t="s">
        <v>28</v>
      </c>
      <c r="AB328" s="22" t="s">
        <v>92</v>
      </c>
      <c r="AC328" s="22" t="s">
        <v>94</v>
      </c>
    </row>
    <row r="329" spans="1:29" ht="18.75" customHeight="1" thickBot="1" x14ac:dyDescent="0.3">
      <c r="A329" s="404"/>
      <c r="B329" s="15"/>
      <c r="C329" s="16"/>
      <c r="D329" s="17"/>
      <c r="E329" s="17"/>
      <c r="F329" s="18" t="s">
        <v>2</v>
      </c>
      <c r="G329" s="18" t="s">
        <v>1</v>
      </c>
      <c r="H329" s="18" t="s">
        <v>17</v>
      </c>
      <c r="I329" s="18" t="s">
        <v>18</v>
      </c>
      <c r="J329" s="18" t="s">
        <v>17</v>
      </c>
      <c r="K329" s="18" t="s">
        <v>18</v>
      </c>
      <c r="L329" s="18" t="s">
        <v>17</v>
      </c>
      <c r="M329" s="18" t="s">
        <v>18</v>
      </c>
      <c r="N329" s="18" t="s">
        <v>17</v>
      </c>
      <c r="O329" s="18" t="s">
        <v>18</v>
      </c>
      <c r="P329" s="18" t="s">
        <v>17</v>
      </c>
      <c r="Q329" s="18" t="s">
        <v>18</v>
      </c>
      <c r="R329" s="18" t="s">
        <v>18</v>
      </c>
      <c r="S329" s="18" t="s">
        <v>98</v>
      </c>
      <c r="T329" s="18" t="s">
        <v>98</v>
      </c>
      <c r="U329" s="18" t="s">
        <v>98</v>
      </c>
      <c r="V329" s="18" t="s">
        <v>116</v>
      </c>
      <c r="W329" s="18" t="s">
        <v>17</v>
      </c>
      <c r="X329" s="18" t="s">
        <v>17</v>
      </c>
      <c r="Y329" s="18" t="s">
        <v>17</v>
      </c>
      <c r="Z329" s="18" t="s">
        <v>17</v>
      </c>
      <c r="AA329" s="18" t="s">
        <v>17</v>
      </c>
      <c r="AB329" s="18" t="s">
        <v>18</v>
      </c>
      <c r="AC329" s="18" t="s">
        <v>93</v>
      </c>
    </row>
    <row r="330" spans="1:29" ht="18.75" customHeight="1" x14ac:dyDescent="0.25">
      <c r="A330" s="404"/>
      <c r="B330" s="1" t="s">
        <v>3</v>
      </c>
      <c r="C330" s="2">
        <v>56</v>
      </c>
      <c r="D330" s="2">
        <v>37.35</v>
      </c>
      <c r="E330" s="2">
        <v>8.68</v>
      </c>
      <c r="F330" s="3" t="e">
        <f>#REF!+#REF!</f>
        <v>#REF!</v>
      </c>
      <c r="G330" s="3">
        <v>74547.8</v>
      </c>
      <c r="H330" s="59"/>
      <c r="I330" s="3"/>
      <c r="J330" s="23"/>
      <c r="K330" s="3"/>
      <c r="L330" s="23"/>
      <c r="M330" s="3"/>
      <c r="N330" s="59"/>
      <c r="O330" s="3"/>
      <c r="P330" s="60"/>
      <c r="Q330" s="3"/>
      <c r="R330" s="21"/>
      <c r="S330" s="21"/>
      <c r="T330" s="21"/>
      <c r="U330" s="21"/>
      <c r="V330" s="3">
        <v>17381</v>
      </c>
      <c r="W330" s="72">
        <v>0.96009999999999995</v>
      </c>
      <c r="X330" s="72">
        <v>0.59260000000000002</v>
      </c>
      <c r="Y330" s="72">
        <f>2.5496+2.1454</f>
        <v>4.6950000000000003</v>
      </c>
      <c r="Z330" s="72"/>
      <c r="AA330" s="72">
        <f>0.315+0.18+0.28</f>
        <v>0.77500000000000002</v>
      </c>
      <c r="AB330" s="75">
        <f>1197+540+1064</f>
        <v>2801</v>
      </c>
      <c r="AC330" s="75">
        <v>502</v>
      </c>
    </row>
    <row r="331" spans="1:29" ht="18.75" customHeight="1" x14ac:dyDescent="0.25">
      <c r="A331" s="404"/>
      <c r="B331" s="5" t="s">
        <v>4</v>
      </c>
      <c r="C331" s="6">
        <v>46</v>
      </c>
      <c r="D331" s="33">
        <v>37.299999999999997</v>
      </c>
      <c r="E331" s="6">
        <v>5.03</v>
      </c>
      <c r="F331" s="7" t="e">
        <f>#REF!+#REF!</f>
        <v>#REF!</v>
      </c>
      <c r="G331" s="7">
        <v>62446.400000000001</v>
      </c>
      <c r="H331" s="60"/>
      <c r="I331" s="7"/>
      <c r="J331" s="24"/>
      <c r="K331" s="7"/>
      <c r="L331" s="24"/>
      <c r="M331" s="7"/>
      <c r="N331" s="60"/>
      <c r="O331" s="7"/>
      <c r="P331" s="60"/>
      <c r="Q331" s="7"/>
      <c r="R331" s="9">
        <f>12700+32450</f>
        <v>45150</v>
      </c>
      <c r="S331" s="9"/>
      <c r="T331" s="9"/>
      <c r="U331" s="9"/>
      <c r="V331" s="7">
        <v>13605</v>
      </c>
      <c r="W331" s="72">
        <v>1.1366000000000001</v>
      </c>
      <c r="X331" s="72">
        <v>0.40639999999999998</v>
      </c>
      <c r="Y331" s="72">
        <v>2.4384000000000001</v>
      </c>
      <c r="Z331" s="72"/>
      <c r="AA331" s="72">
        <f>0.42+0.38</f>
        <v>0.8</v>
      </c>
      <c r="AB331" s="75">
        <f>588+532</f>
        <v>1120</v>
      </c>
      <c r="AC331" s="75">
        <v>423</v>
      </c>
    </row>
    <row r="332" spans="1:29" ht="18.75" customHeight="1" x14ac:dyDescent="0.25">
      <c r="A332" s="404"/>
      <c r="B332" s="5" t="s">
        <v>5</v>
      </c>
      <c r="C332" s="6">
        <v>63</v>
      </c>
      <c r="D332" s="33">
        <v>95.6</v>
      </c>
      <c r="E332" s="6">
        <v>12.65</v>
      </c>
      <c r="F332" s="7" t="e">
        <f>#REF!+#REF!</f>
        <v>#REF!</v>
      </c>
      <c r="G332" s="7">
        <v>133484.20000000001</v>
      </c>
      <c r="H332" s="60"/>
      <c r="I332" s="7"/>
      <c r="J332" s="24"/>
      <c r="K332" s="7"/>
      <c r="L332" s="24"/>
      <c r="M332" s="7"/>
      <c r="N332" s="60"/>
      <c r="O332" s="7"/>
      <c r="P332" s="60"/>
      <c r="Q332" s="7"/>
      <c r="R332" s="9">
        <v>4600</v>
      </c>
      <c r="S332" s="9">
        <v>564.70000000000005</v>
      </c>
      <c r="T332" s="9"/>
      <c r="U332" s="9">
        <v>45002.5</v>
      </c>
      <c r="V332" s="7">
        <v>14405</v>
      </c>
      <c r="W332" s="72">
        <v>1.2678</v>
      </c>
      <c r="X332" s="72">
        <v>0</v>
      </c>
      <c r="Y332" s="72">
        <f>2.2822+1.6344</f>
        <v>3.9165999999999999</v>
      </c>
      <c r="Z332" s="72"/>
      <c r="AA332" s="72">
        <f>0.28+0.36</f>
        <v>0.64</v>
      </c>
      <c r="AB332" s="75">
        <f>392+1296</f>
        <v>1688</v>
      </c>
      <c r="AC332" s="75">
        <v>242</v>
      </c>
    </row>
    <row r="333" spans="1:29" ht="18.75" customHeight="1" x14ac:dyDescent="0.25">
      <c r="A333" s="404"/>
      <c r="B333" s="5" t="s">
        <v>6</v>
      </c>
      <c r="C333" s="6">
        <v>79</v>
      </c>
      <c r="D333" s="33">
        <v>71.75</v>
      </c>
      <c r="E333" s="6">
        <v>12.08</v>
      </c>
      <c r="F333" s="7" t="e">
        <f>#REF!+#REF!</f>
        <v>#REF!</v>
      </c>
      <c r="G333" s="7">
        <v>116384.4</v>
      </c>
      <c r="H333" s="60"/>
      <c r="I333" s="7"/>
      <c r="J333" s="24"/>
      <c r="K333" s="7"/>
      <c r="L333" s="24"/>
      <c r="M333" s="7"/>
      <c r="N333" s="60"/>
      <c r="O333" s="7"/>
      <c r="P333" s="60">
        <v>0.73399999999999999</v>
      </c>
      <c r="Q333" s="7">
        <v>3626</v>
      </c>
      <c r="R333" s="9"/>
      <c r="S333" s="9"/>
      <c r="T333" s="9"/>
      <c r="U333" s="9"/>
      <c r="V333" s="7">
        <v>18021</v>
      </c>
      <c r="W333" s="72">
        <v>2.2149999999999999</v>
      </c>
      <c r="X333" s="72">
        <v>0.36680000000000001</v>
      </c>
      <c r="Y333" s="72">
        <v>2.4573999999999998</v>
      </c>
      <c r="Z333" s="72"/>
      <c r="AA333" s="72"/>
      <c r="AB333" s="75"/>
      <c r="AC333" s="75">
        <v>450</v>
      </c>
    </row>
    <row r="334" spans="1:29" ht="18.75" customHeight="1" x14ac:dyDescent="0.25">
      <c r="A334" s="404"/>
      <c r="B334" s="5" t="s">
        <v>7</v>
      </c>
      <c r="C334" s="6">
        <v>107</v>
      </c>
      <c r="D334" s="33">
        <v>107.05</v>
      </c>
      <c r="E334" s="6">
        <v>21.8</v>
      </c>
      <c r="F334" s="7" t="e">
        <f>#REF!+#REF!</f>
        <v>#REF!</v>
      </c>
      <c r="G334" s="7">
        <v>170063.2</v>
      </c>
      <c r="H334" s="60">
        <v>0.65500000000000003</v>
      </c>
      <c r="I334" s="7">
        <v>5569</v>
      </c>
      <c r="J334" s="24">
        <v>1.2</v>
      </c>
      <c r="K334" s="7">
        <v>911</v>
      </c>
      <c r="L334" s="24"/>
      <c r="M334" s="7"/>
      <c r="N334" s="60"/>
      <c r="O334" s="7"/>
      <c r="P334" s="60"/>
      <c r="Q334" s="7"/>
      <c r="R334" s="9">
        <v>30700</v>
      </c>
      <c r="S334" s="9"/>
      <c r="T334" s="9"/>
      <c r="U334" s="9"/>
      <c r="V334" s="7">
        <v>24725</v>
      </c>
      <c r="W334" s="72">
        <v>1.7636000000000001</v>
      </c>
      <c r="X334" s="72">
        <v>0.44190000000000002</v>
      </c>
      <c r="Y334" s="72">
        <f>2.2972+2.2179</f>
        <v>4.5151000000000003</v>
      </c>
      <c r="Z334" s="72"/>
      <c r="AA334" s="72">
        <v>2.12</v>
      </c>
      <c r="AB334" s="75">
        <v>8480</v>
      </c>
      <c r="AC334" s="75">
        <v>584</v>
      </c>
    </row>
    <row r="335" spans="1:29" ht="18.75" customHeight="1" x14ac:dyDescent="0.25">
      <c r="A335" s="404"/>
      <c r="B335" s="5" t="s">
        <v>8</v>
      </c>
      <c r="C335" s="6">
        <v>91</v>
      </c>
      <c r="D335" s="33">
        <v>94.86</v>
      </c>
      <c r="E335" s="6">
        <v>13.16</v>
      </c>
      <c r="F335" s="7" t="e">
        <f>#REF!+#REF!</f>
        <v>#REF!</v>
      </c>
      <c r="G335" s="7">
        <v>157714</v>
      </c>
      <c r="H335" s="60"/>
      <c r="I335" s="7"/>
      <c r="J335" s="24">
        <v>1.5</v>
      </c>
      <c r="K335" s="7">
        <v>1139</v>
      </c>
      <c r="L335" s="24"/>
      <c r="M335" s="7"/>
      <c r="N335" s="60">
        <v>5.2999999999999999E-2</v>
      </c>
      <c r="O335" s="7">
        <v>1563</v>
      </c>
      <c r="P335" s="60"/>
      <c r="Q335" s="7"/>
      <c r="R335" s="9"/>
      <c r="S335" s="9">
        <v>852.6</v>
      </c>
      <c r="T335" s="9"/>
      <c r="U335" s="9">
        <v>58468</v>
      </c>
      <c r="V335" s="7">
        <v>26853</v>
      </c>
      <c r="W335" s="72">
        <v>2.1964999999999999</v>
      </c>
      <c r="X335" s="72">
        <v>0.44629999999999997</v>
      </c>
      <c r="Y335" s="72">
        <v>3.2042999999999999</v>
      </c>
      <c r="Z335" s="72">
        <v>6.76</v>
      </c>
      <c r="AA335" s="72">
        <v>1</v>
      </c>
      <c r="AB335" s="75">
        <v>3800</v>
      </c>
      <c r="AC335" s="75">
        <v>484</v>
      </c>
    </row>
    <row r="336" spans="1:29" ht="18.75" customHeight="1" x14ac:dyDescent="0.25">
      <c r="A336" s="404"/>
      <c r="B336" s="5" t="s">
        <v>9</v>
      </c>
      <c r="C336" s="6">
        <v>124</v>
      </c>
      <c r="D336" s="57" t="e">
        <f>#REF!</f>
        <v>#REF!</v>
      </c>
      <c r="E336" s="32" t="e">
        <f>#REF!</f>
        <v>#REF!</v>
      </c>
      <c r="F336" s="7" t="e">
        <f>#REF!+#REF!</f>
        <v>#REF!</v>
      </c>
      <c r="G336" s="7">
        <v>153532.79999999999</v>
      </c>
      <c r="H336" s="60"/>
      <c r="I336" s="7"/>
      <c r="J336" s="24"/>
      <c r="K336" s="7"/>
      <c r="L336" s="24">
        <v>1.22</v>
      </c>
      <c r="M336" s="33">
        <f>L336*1282</f>
        <v>1564.04</v>
      </c>
      <c r="N336" s="60"/>
      <c r="O336" s="7"/>
      <c r="P336" s="60"/>
      <c r="Q336" s="7"/>
      <c r="R336" s="9"/>
      <c r="S336" s="9"/>
      <c r="T336" s="9"/>
      <c r="U336" s="9"/>
      <c r="V336" s="7">
        <v>22437</v>
      </c>
      <c r="W336" s="72">
        <v>1.8018000000000001</v>
      </c>
      <c r="X336" s="72">
        <v>0.44419999999999998</v>
      </c>
      <c r="Y336" s="72">
        <v>1.9448000000000001</v>
      </c>
      <c r="Z336" s="72"/>
      <c r="AA336" s="72">
        <v>1.1000000000000001</v>
      </c>
      <c r="AB336" s="75">
        <v>4400</v>
      </c>
      <c r="AC336" s="75">
        <v>602</v>
      </c>
    </row>
    <row r="337" spans="1:29" ht="18.75" customHeight="1" x14ac:dyDescent="0.25">
      <c r="A337" s="404"/>
      <c r="B337" s="5" t="s">
        <v>10</v>
      </c>
      <c r="C337" s="6">
        <v>128</v>
      </c>
      <c r="D337" s="33">
        <v>101.51</v>
      </c>
      <c r="E337" s="6">
        <v>10.6</v>
      </c>
      <c r="F337" s="7" t="e">
        <f>#REF!+#REF!</f>
        <v>#REF!</v>
      </c>
      <c r="G337" s="7">
        <v>161528.79999999999</v>
      </c>
      <c r="H337" s="60"/>
      <c r="I337" s="7"/>
      <c r="J337" s="24">
        <v>2.52</v>
      </c>
      <c r="K337" s="7">
        <v>1913</v>
      </c>
      <c r="L337" s="24"/>
      <c r="M337" s="7"/>
      <c r="N337" s="60"/>
      <c r="O337" s="7"/>
      <c r="P337" s="60"/>
      <c r="Q337" s="7"/>
      <c r="R337" s="9"/>
      <c r="S337" s="9"/>
      <c r="T337" s="9"/>
      <c r="U337" s="9"/>
      <c r="V337" s="7">
        <v>24725</v>
      </c>
      <c r="W337" s="72">
        <v>2.1158000000000001</v>
      </c>
      <c r="X337" s="72">
        <v>0.45400000000000001</v>
      </c>
      <c r="Y337" s="72">
        <f>2.6671+2.4761</f>
        <v>5.1432000000000002</v>
      </c>
      <c r="Z337" s="72"/>
      <c r="AA337" s="72"/>
      <c r="AB337" s="75"/>
      <c r="AC337" s="75">
        <v>418</v>
      </c>
    </row>
    <row r="338" spans="1:29" ht="18.75" customHeight="1" x14ac:dyDescent="0.25">
      <c r="A338" s="404"/>
      <c r="B338" s="5" t="s">
        <v>11</v>
      </c>
      <c r="C338" s="6">
        <v>98</v>
      </c>
      <c r="D338" s="33">
        <v>50.32</v>
      </c>
      <c r="E338" s="6">
        <v>22.01</v>
      </c>
      <c r="F338" s="7" t="e">
        <f>#REF!+#REF!</f>
        <v>#REF!</v>
      </c>
      <c r="G338" s="7">
        <v>106265.5</v>
      </c>
      <c r="H338" s="60"/>
      <c r="I338" s="7"/>
      <c r="J338" s="24">
        <v>2</v>
      </c>
      <c r="K338" s="7">
        <v>1518</v>
      </c>
      <c r="L338" s="24"/>
      <c r="M338" s="7"/>
      <c r="N338" s="60"/>
      <c r="O338" s="7"/>
      <c r="P338" s="60"/>
      <c r="Q338" s="7"/>
      <c r="R338" s="9"/>
      <c r="S338" s="9">
        <v>2390.25</v>
      </c>
      <c r="T338" s="9"/>
      <c r="U338" s="9">
        <v>59546.5</v>
      </c>
      <c r="V338" s="7">
        <v>29141</v>
      </c>
      <c r="W338" s="72">
        <v>2.2881999999999998</v>
      </c>
      <c r="X338" s="72">
        <v>0.41260000000000002</v>
      </c>
      <c r="Y338" s="72">
        <f>3.0234+2.2756</f>
        <v>5.2989999999999995</v>
      </c>
      <c r="Z338" s="72"/>
      <c r="AA338" s="72">
        <v>1.38</v>
      </c>
      <c r="AB338" s="75">
        <v>5796</v>
      </c>
      <c r="AC338" s="75">
        <v>80</v>
      </c>
    </row>
    <row r="339" spans="1:29" ht="18.75" customHeight="1" x14ac:dyDescent="0.25">
      <c r="A339" s="404"/>
      <c r="B339" s="5" t="s">
        <v>12</v>
      </c>
      <c r="C339" s="6">
        <v>116</v>
      </c>
      <c r="D339" s="33">
        <v>111.12</v>
      </c>
      <c r="E339" s="6">
        <v>2.99</v>
      </c>
      <c r="F339" s="7" t="e">
        <f>#REF!+#REF!</f>
        <v>#REF!</v>
      </c>
      <c r="G339" s="7">
        <v>140645.79999999999</v>
      </c>
      <c r="H339" s="60">
        <v>0.42499999999999999</v>
      </c>
      <c r="I339" s="7">
        <v>1095</v>
      </c>
      <c r="J339" s="24"/>
      <c r="K339" s="7"/>
      <c r="L339" s="24"/>
      <c r="M339" s="7"/>
      <c r="N339" s="60"/>
      <c r="O339" s="7"/>
      <c r="P339" s="60"/>
      <c r="Q339" s="7"/>
      <c r="R339" s="9"/>
      <c r="S339" s="9"/>
      <c r="T339" s="9"/>
      <c r="U339" s="9"/>
      <c r="V339" s="7">
        <v>18195</v>
      </c>
      <c r="W339" s="72">
        <v>0.95599999999999996</v>
      </c>
      <c r="X339" s="72">
        <v>0.47770000000000001</v>
      </c>
      <c r="Y339" s="72">
        <v>2.2682000000000002</v>
      </c>
      <c r="Z339" s="72"/>
      <c r="AA339" s="72">
        <v>1.84</v>
      </c>
      <c r="AB339" s="75">
        <v>6992</v>
      </c>
      <c r="AC339" s="75">
        <v>346</v>
      </c>
    </row>
    <row r="340" spans="1:29" ht="18.75" customHeight="1" x14ac:dyDescent="0.25">
      <c r="A340" s="404"/>
      <c r="B340" s="5" t="s">
        <v>13</v>
      </c>
      <c r="C340" s="6">
        <v>82</v>
      </c>
      <c r="D340" s="33" t="e">
        <f>#REF!</f>
        <v>#REF!</v>
      </c>
      <c r="E340" s="32" t="e">
        <f>#REF!</f>
        <v>#REF!</v>
      </c>
      <c r="F340" s="7" t="e">
        <f>#REF!+#REF!</f>
        <v>#REF!</v>
      </c>
      <c r="G340" s="7">
        <v>109945.8</v>
      </c>
      <c r="H340" s="60"/>
      <c r="I340" s="7">
        <v>4235</v>
      </c>
      <c r="J340" s="24">
        <f>3.17+2.85</f>
        <v>6.02</v>
      </c>
      <c r="K340" s="7">
        <v>4569</v>
      </c>
      <c r="L340" s="24"/>
      <c r="M340" s="7"/>
      <c r="N340" s="60">
        <v>4.7E-2</v>
      </c>
      <c r="O340" s="7">
        <v>1287</v>
      </c>
      <c r="P340" s="60">
        <v>2.4900000000000002</v>
      </c>
      <c r="Q340" s="7">
        <v>8508</v>
      </c>
      <c r="R340" s="9"/>
      <c r="S340" s="9"/>
      <c r="T340" s="9"/>
      <c r="U340" s="9"/>
      <c r="V340" s="7">
        <v>20484</v>
      </c>
      <c r="W340" s="72">
        <v>2.3300999999999998</v>
      </c>
      <c r="X340" s="72">
        <v>0.42059999999999997</v>
      </c>
      <c r="Y340" s="72">
        <f>2.302+1.7776</f>
        <v>4.0796000000000001</v>
      </c>
      <c r="Z340" s="72"/>
      <c r="AA340" s="72"/>
      <c r="AB340" s="75"/>
      <c r="AC340" s="75">
        <v>226</v>
      </c>
    </row>
    <row r="341" spans="1:29" ht="18.75" customHeight="1" thickBot="1" x14ac:dyDescent="0.3">
      <c r="A341" s="404"/>
      <c r="B341" s="46" t="s">
        <v>14</v>
      </c>
      <c r="C341" s="43">
        <v>50</v>
      </c>
      <c r="D341" s="61" t="e">
        <f>#REF!</f>
        <v>#REF!</v>
      </c>
      <c r="E341" s="44" t="e">
        <f>#REF!</f>
        <v>#REF!</v>
      </c>
      <c r="F341" s="62" t="e">
        <f>#REF!+#REF!</f>
        <v>#REF!</v>
      </c>
      <c r="G341" s="62">
        <v>58959.4</v>
      </c>
      <c r="H341" s="63"/>
      <c r="I341" s="62"/>
      <c r="J341" s="64"/>
      <c r="K341" s="62"/>
      <c r="L341" s="64"/>
      <c r="M341" s="62"/>
      <c r="N341" s="63"/>
      <c r="O341" s="62"/>
      <c r="P341" s="63"/>
      <c r="Q341" s="62"/>
      <c r="R341" s="65"/>
      <c r="S341" s="65">
        <v>4055</v>
      </c>
      <c r="T341" s="65"/>
      <c r="U341" s="65">
        <v>49507.5</v>
      </c>
      <c r="V341" s="62">
        <v>13779</v>
      </c>
      <c r="W341" s="73">
        <v>1.1802999999999999</v>
      </c>
      <c r="X341" s="73">
        <v>0.41410000000000002</v>
      </c>
      <c r="Y341" s="73">
        <v>2.6092</v>
      </c>
      <c r="Z341" s="73">
        <v>7.2695999999999996</v>
      </c>
      <c r="AA341" s="73"/>
      <c r="AB341" s="76"/>
      <c r="AC341" s="76">
        <v>160</v>
      </c>
    </row>
    <row r="342" spans="1:29" ht="18.75" customHeight="1" thickBot="1" x14ac:dyDescent="0.3">
      <c r="A342" s="404"/>
      <c r="B342" s="186" t="s">
        <v>15</v>
      </c>
      <c r="C342" s="187">
        <f t="shared" ref="C342:H342" si="65">SUM(C330:C341)</f>
        <v>1040</v>
      </c>
      <c r="D342" s="187" t="e">
        <f t="shared" si="65"/>
        <v>#REF!</v>
      </c>
      <c r="E342" s="66" t="e">
        <f t="shared" si="65"/>
        <v>#REF!</v>
      </c>
      <c r="F342" s="67" t="e">
        <f t="shared" si="65"/>
        <v>#REF!</v>
      </c>
      <c r="G342" s="67">
        <f t="shared" si="65"/>
        <v>1445518.1</v>
      </c>
      <c r="H342" s="68">
        <f t="shared" si="65"/>
        <v>1.08</v>
      </c>
      <c r="I342" s="67">
        <f t="shared" ref="I342" si="66">SUM(I330:I341)</f>
        <v>10899</v>
      </c>
      <c r="J342" s="69">
        <f t="shared" ref="J342:O342" si="67">SUM(J330:J341)</f>
        <v>13.24</v>
      </c>
      <c r="K342" s="67">
        <f t="shared" si="67"/>
        <v>10050</v>
      </c>
      <c r="L342" s="69">
        <f t="shared" si="67"/>
        <v>1.22</v>
      </c>
      <c r="M342" s="69">
        <f t="shared" si="67"/>
        <v>1564.04</v>
      </c>
      <c r="N342" s="68">
        <f t="shared" si="67"/>
        <v>0.1</v>
      </c>
      <c r="O342" s="67">
        <f t="shared" si="67"/>
        <v>2850</v>
      </c>
      <c r="P342" s="68">
        <f t="shared" ref="P342:W342" si="68">SUM(P330:P341)</f>
        <v>3.2240000000000002</v>
      </c>
      <c r="Q342" s="67">
        <f t="shared" si="68"/>
        <v>12134</v>
      </c>
      <c r="R342" s="70">
        <f t="shared" si="68"/>
        <v>80450</v>
      </c>
      <c r="S342" s="71">
        <f t="shared" ref="S342" si="69">SUM(S330:S341)</f>
        <v>7862.55</v>
      </c>
      <c r="T342" s="71">
        <f t="shared" si="68"/>
        <v>0</v>
      </c>
      <c r="U342" s="71">
        <f t="shared" si="68"/>
        <v>212524.5</v>
      </c>
      <c r="V342" s="67">
        <f t="shared" ref="V342" si="70">SUM(V330:V341)</f>
        <v>243751</v>
      </c>
      <c r="W342" s="74">
        <f t="shared" si="68"/>
        <v>20.2118</v>
      </c>
      <c r="X342" s="74">
        <f t="shared" ref="X342:AB342" si="71">SUM(X330:X341)</f>
        <v>4.8772000000000011</v>
      </c>
      <c r="Y342" s="74">
        <f t="shared" si="71"/>
        <v>42.570799999999998</v>
      </c>
      <c r="Z342" s="74">
        <f t="shared" ref="Z342" si="72">SUM(Z330:Z341)</f>
        <v>14.029599999999999</v>
      </c>
      <c r="AA342" s="74">
        <f t="shared" si="71"/>
        <v>9.6550000000000011</v>
      </c>
      <c r="AB342" s="77">
        <f t="shared" si="71"/>
        <v>35077</v>
      </c>
      <c r="AC342" s="77">
        <f t="shared" ref="AC342" si="73">SUM(AC330:AC341)</f>
        <v>4517</v>
      </c>
    </row>
    <row r="343" spans="1:29" ht="21" x14ac:dyDescent="0.35">
      <c r="A343" s="434"/>
      <c r="B343" s="437" t="s">
        <v>208</v>
      </c>
      <c r="C343" s="438"/>
      <c r="D343" s="188" t="e">
        <f>SUM(G342+F342+I342+K342+M342+O342+Q342+R342-S342-T342-U342+V342+AB342)</f>
        <v>#REF!</v>
      </c>
    </row>
    <row r="344" spans="1:29" ht="21" x14ac:dyDescent="0.35">
      <c r="A344" s="434"/>
      <c r="B344" s="439" t="s">
        <v>206</v>
      </c>
      <c r="C344" s="440"/>
      <c r="D344" s="189" t="e">
        <f>SUM(E342+D342)</f>
        <v>#REF!</v>
      </c>
      <c r="W344" s="34"/>
      <c r="X344" s="34"/>
      <c r="Y344" s="34"/>
      <c r="Z344" s="34"/>
      <c r="AA344" s="34"/>
    </row>
    <row r="345" spans="1:29" ht="21.75" thickBot="1" x14ac:dyDescent="0.4">
      <c r="A345" s="434"/>
      <c r="B345" s="435" t="s">
        <v>207</v>
      </c>
      <c r="C345" s="436"/>
      <c r="D345" s="190">
        <v>1445518.1</v>
      </c>
    </row>
    <row r="346" spans="1:29" ht="15.75" thickBot="1" x14ac:dyDescent="0.3">
      <c r="A346" s="405"/>
    </row>
  </sheetData>
  <mergeCells count="352">
    <mergeCell ref="O2:Q2"/>
    <mergeCell ref="L2:N2"/>
    <mergeCell ref="I2:K2"/>
    <mergeCell ref="F2:H2"/>
    <mergeCell ref="C2:E2"/>
    <mergeCell ref="B279:C279"/>
    <mergeCell ref="B280:C280"/>
    <mergeCell ref="D279:F279"/>
    <mergeCell ref="D280:F280"/>
    <mergeCell ref="G220:H220"/>
    <mergeCell ref="C203:E203"/>
    <mergeCell ref="F203:H203"/>
    <mergeCell ref="C244:E244"/>
    <mergeCell ref="F244:H244"/>
    <mergeCell ref="B239:C239"/>
    <mergeCell ref="D239:F239"/>
    <mergeCell ref="B240:C240"/>
    <mergeCell ref="D240:F240"/>
    <mergeCell ref="B241:C241"/>
    <mergeCell ref="D241:F241"/>
    <mergeCell ref="H222:L222"/>
    <mergeCell ref="J220:K220"/>
    <mergeCell ref="I225:J225"/>
    <mergeCell ref="C164:E164"/>
    <mergeCell ref="B345:C345"/>
    <mergeCell ref="B322:C322"/>
    <mergeCell ref="B323:C323"/>
    <mergeCell ref="B262:F262"/>
    <mergeCell ref="AG244:AH244"/>
    <mergeCell ref="AI244:AJ244"/>
    <mergeCell ref="R284:T284"/>
    <mergeCell ref="U284:W284"/>
    <mergeCell ref="X284:Z284"/>
    <mergeCell ref="AA284:AC284"/>
    <mergeCell ref="AD284:AF284"/>
    <mergeCell ref="J260:K260"/>
    <mergeCell ref="M260:N260"/>
    <mergeCell ref="P260:Q260"/>
    <mergeCell ref="I284:K284"/>
    <mergeCell ref="L284:N284"/>
    <mergeCell ref="O284:Q284"/>
    <mergeCell ref="I244:K244"/>
    <mergeCell ref="L244:N244"/>
    <mergeCell ref="O244:Q244"/>
    <mergeCell ref="B302:C302"/>
    <mergeCell ref="D302:E302"/>
    <mergeCell ref="D303:E303"/>
    <mergeCell ref="B281:C281"/>
    <mergeCell ref="B344:C344"/>
    <mergeCell ref="D281:F281"/>
    <mergeCell ref="AT284:AV284"/>
    <mergeCell ref="C284:E284"/>
    <mergeCell ref="J307:K307"/>
    <mergeCell ref="H307:I307"/>
    <mergeCell ref="V306:Y306"/>
    <mergeCell ref="AI284:AJ284"/>
    <mergeCell ref="AG284:AH284"/>
    <mergeCell ref="V300:W300"/>
    <mergeCell ref="Y300:Z300"/>
    <mergeCell ref="AB300:AC300"/>
    <mergeCell ref="AE300:AF300"/>
    <mergeCell ref="D300:E300"/>
    <mergeCell ref="G300:H300"/>
    <mergeCell ref="J300:K300"/>
    <mergeCell ref="B301:C301"/>
    <mergeCell ref="D301:E301"/>
    <mergeCell ref="AO284:AR284"/>
    <mergeCell ref="P307:Q307"/>
    <mergeCell ref="N307:O307"/>
    <mergeCell ref="L307:M307"/>
    <mergeCell ref="F284:H284"/>
    <mergeCell ref="M300:N300"/>
    <mergeCell ref="AE220:AF220"/>
    <mergeCell ref="Q225:R225"/>
    <mergeCell ref="P223:R223"/>
    <mergeCell ref="P222:R222"/>
    <mergeCell ref="P220:Q220"/>
    <mergeCell ref="S220:T220"/>
    <mergeCell ref="AB220:AC220"/>
    <mergeCell ref="AA203:AC203"/>
    <mergeCell ref="T222:V222"/>
    <mergeCell ref="A245:A281"/>
    <mergeCell ref="A205:A241"/>
    <mergeCell ref="B222:F222"/>
    <mergeCell ref="K225:L225"/>
    <mergeCell ref="M225:N225"/>
    <mergeCell ref="AT204:AV204"/>
    <mergeCell ref="C204:E204"/>
    <mergeCell ref="F204:H204"/>
    <mergeCell ref="I204:K204"/>
    <mergeCell ref="L204:N204"/>
    <mergeCell ref="O204:Q204"/>
    <mergeCell ref="R204:T204"/>
    <mergeCell ref="U204:W204"/>
    <mergeCell ref="AO244:AR244"/>
    <mergeCell ref="AA204:AC204"/>
    <mergeCell ref="AB260:AC260"/>
    <mergeCell ref="AE260:AF260"/>
    <mergeCell ref="AD204:AF204"/>
    <mergeCell ref="AG204:AH204"/>
    <mergeCell ref="AI204:AJ204"/>
    <mergeCell ref="AO204:AR204"/>
    <mergeCell ref="AT244:AV244"/>
    <mergeCell ref="R244:T244"/>
    <mergeCell ref="U244:W244"/>
    <mergeCell ref="A1:F1"/>
    <mergeCell ref="H328:I328"/>
    <mergeCell ref="V327:Y327"/>
    <mergeCell ref="W326:Y326"/>
    <mergeCell ref="P328:Q328"/>
    <mergeCell ref="L328:M328"/>
    <mergeCell ref="N328:O328"/>
    <mergeCell ref="J328:K328"/>
    <mergeCell ref="A285:A303"/>
    <mergeCell ref="A307:A325"/>
    <mergeCell ref="A328:A346"/>
    <mergeCell ref="S260:T260"/>
    <mergeCell ref="V260:W260"/>
    <mergeCell ref="Y260:Z260"/>
    <mergeCell ref="D260:E260"/>
    <mergeCell ref="G260:H260"/>
    <mergeCell ref="B303:C303"/>
    <mergeCell ref="D220:E220"/>
    <mergeCell ref="B324:C324"/>
    <mergeCell ref="X203:Z203"/>
    <mergeCell ref="U203:W203"/>
    <mergeCell ref="R203:T203"/>
    <mergeCell ref="B343:C343"/>
    <mergeCell ref="I203:K203"/>
    <mergeCell ref="P300:Q300"/>
    <mergeCell ref="S300:T300"/>
    <mergeCell ref="X204:Z204"/>
    <mergeCell ref="O203:Q203"/>
    <mergeCell ref="L203:N203"/>
    <mergeCell ref="V220:W220"/>
    <mergeCell ref="Y220:Z220"/>
    <mergeCell ref="M220:N220"/>
    <mergeCell ref="AT164:AV164"/>
    <mergeCell ref="AB180:AC180"/>
    <mergeCell ref="AE180:AF180"/>
    <mergeCell ref="AG164:AH164"/>
    <mergeCell ref="AI164:AJ164"/>
    <mergeCell ref="AO164:AR164"/>
    <mergeCell ref="O164:Q164"/>
    <mergeCell ref="R164:T164"/>
    <mergeCell ref="U164:W164"/>
    <mergeCell ref="X164:Z164"/>
    <mergeCell ref="AA164:AC164"/>
    <mergeCell ref="AD164:AF164"/>
    <mergeCell ref="AD203:AF203"/>
    <mergeCell ref="X244:Z244"/>
    <mergeCell ref="AA244:AC244"/>
    <mergeCell ref="AD244:AF244"/>
    <mergeCell ref="A165:A201"/>
    <mergeCell ref="D180:E180"/>
    <mergeCell ref="G180:H180"/>
    <mergeCell ref="J180:K180"/>
    <mergeCell ref="M180:N180"/>
    <mergeCell ref="P180:Q180"/>
    <mergeCell ref="S180:T180"/>
    <mergeCell ref="V180:W180"/>
    <mergeCell ref="Y180:Z180"/>
    <mergeCell ref="B182:F182"/>
    <mergeCell ref="H182:L182"/>
    <mergeCell ref="P182:R182"/>
    <mergeCell ref="T182:V182"/>
    <mergeCell ref="P183:R183"/>
    <mergeCell ref="I185:J185"/>
    <mergeCell ref="K185:L185"/>
    <mergeCell ref="M185:N185"/>
    <mergeCell ref="Q185:R185"/>
    <mergeCell ref="F164:H164"/>
    <mergeCell ref="I164:K164"/>
    <mergeCell ref="L164:N164"/>
    <mergeCell ref="B199:C199"/>
    <mergeCell ref="D199:F199"/>
    <mergeCell ref="B200:C200"/>
    <mergeCell ref="D200:F200"/>
    <mergeCell ref="B201:C201"/>
    <mergeCell ref="D201:F201"/>
    <mergeCell ref="A125:A161"/>
    <mergeCell ref="B159:C159"/>
    <mergeCell ref="D159:F159"/>
    <mergeCell ref="B160:C160"/>
    <mergeCell ref="D160:F160"/>
    <mergeCell ref="C124:E124"/>
    <mergeCell ref="F124:H124"/>
    <mergeCell ref="I124:K124"/>
    <mergeCell ref="L124:N124"/>
    <mergeCell ref="B142:F142"/>
    <mergeCell ref="H142:L142"/>
    <mergeCell ref="I145:J145"/>
    <mergeCell ref="K145:L145"/>
    <mergeCell ref="M145:N145"/>
    <mergeCell ref="D140:E140"/>
    <mergeCell ref="G140:H140"/>
    <mergeCell ref="J140:K140"/>
    <mergeCell ref="M140:N140"/>
    <mergeCell ref="AT124:AV124"/>
    <mergeCell ref="B161:C161"/>
    <mergeCell ref="D161:F161"/>
    <mergeCell ref="O124:Q124"/>
    <mergeCell ref="R124:T124"/>
    <mergeCell ref="U124:W124"/>
    <mergeCell ref="X124:Z124"/>
    <mergeCell ref="AA124:AC124"/>
    <mergeCell ref="AD124:AF124"/>
    <mergeCell ref="AG124:AH124"/>
    <mergeCell ref="AI124:AJ124"/>
    <mergeCell ref="AO124:AR124"/>
    <mergeCell ref="AE140:AF140"/>
    <mergeCell ref="P142:R142"/>
    <mergeCell ref="T142:V142"/>
    <mergeCell ref="P143:R143"/>
    <mergeCell ref="Q145:R145"/>
    <mergeCell ref="P140:Q140"/>
    <mergeCell ref="S140:T140"/>
    <mergeCell ref="V140:W140"/>
    <mergeCell ref="Y140:Z140"/>
    <mergeCell ref="AB140:AC140"/>
    <mergeCell ref="AI84:AJ84"/>
    <mergeCell ref="AO84:AR84"/>
    <mergeCell ref="AT84:AV84"/>
    <mergeCell ref="A85:A121"/>
    <mergeCell ref="D100:E100"/>
    <mergeCell ref="G100:H100"/>
    <mergeCell ref="J100:K100"/>
    <mergeCell ref="M100:N100"/>
    <mergeCell ref="P100:Q100"/>
    <mergeCell ref="S100:T100"/>
    <mergeCell ref="V100:W100"/>
    <mergeCell ref="Y100:Z100"/>
    <mergeCell ref="AB100:AC100"/>
    <mergeCell ref="AE100:AF100"/>
    <mergeCell ref="B102:F102"/>
    <mergeCell ref="H102:L102"/>
    <mergeCell ref="P102:R102"/>
    <mergeCell ref="T102:V102"/>
    <mergeCell ref="P103:R103"/>
    <mergeCell ref="I105:J105"/>
    <mergeCell ref="K105:L105"/>
    <mergeCell ref="M105:N105"/>
    <mergeCell ref="C84:E84"/>
    <mergeCell ref="F84:H84"/>
    <mergeCell ref="Q105:R105"/>
    <mergeCell ref="B119:C119"/>
    <mergeCell ref="D119:F119"/>
    <mergeCell ref="B120:C120"/>
    <mergeCell ref="D120:F120"/>
    <mergeCell ref="B121:C121"/>
    <mergeCell ref="D121:F121"/>
    <mergeCell ref="AD84:AF84"/>
    <mergeCell ref="AG84:AH84"/>
    <mergeCell ref="I84:K84"/>
    <mergeCell ref="L84:N84"/>
    <mergeCell ref="O84:Q84"/>
    <mergeCell ref="R84:T84"/>
    <mergeCell ref="U84:W84"/>
    <mergeCell ref="X84:Z84"/>
    <mergeCell ref="AA84:AC84"/>
    <mergeCell ref="AG43:AH43"/>
    <mergeCell ref="AI43:AJ43"/>
    <mergeCell ref="AO43:AR43"/>
    <mergeCell ref="AT43:AV43"/>
    <mergeCell ref="D59:E59"/>
    <mergeCell ref="G59:H59"/>
    <mergeCell ref="J59:K59"/>
    <mergeCell ref="M59:N59"/>
    <mergeCell ref="P59:Q59"/>
    <mergeCell ref="S59:T59"/>
    <mergeCell ref="V59:W59"/>
    <mergeCell ref="Y59:Z59"/>
    <mergeCell ref="AB59:AC59"/>
    <mergeCell ref="AE59:AF59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H62:L62"/>
    <mergeCell ref="P62:R62"/>
    <mergeCell ref="T62:V62"/>
    <mergeCell ref="P63:R63"/>
    <mergeCell ref="I65:J65"/>
    <mergeCell ref="K65:L65"/>
    <mergeCell ref="M65:N65"/>
    <mergeCell ref="Q65:R65"/>
    <mergeCell ref="AD43:AF43"/>
    <mergeCell ref="B79:C79"/>
    <mergeCell ref="D79:F79"/>
    <mergeCell ref="B80:C80"/>
    <mergeCell ref="D80:F80"/>
    <mergeCell ref="B81:C81"/>
    <mergeCell ref="D81:F81"/>
    <mergeCell ref="A62:A81"/>
    <mergeCell ref="A43:A58"/>
    <mergeCell ref="B62:F62"/>
    <mergeCell ref="R2:T2"/>
    <mergeCell ref="U2:W2"/>
    <mergeCell ref="X2:Z2"/>
    <mergeCell ref="AA2:AC2"/>
    <mergeCell ref="AD2:AF2"/>
    <mergeCell ref="AG2:AH2"/>
    <mergeCell ref="AI2:AJ2"/>
    <mergeCell ref="AO2:AR2"/>
    <mergeCell ref="AT2:AV2"/>
    <mergeCell ref="AG3:AH3"/>
    <mergeCell ref="AI3:AJ3"/>
    <mergeCell ref="AO3:AR3"/>
    <mergeCell ref="AT3:AV3"/>
    <mergeCell ref="D19:E19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H22:L22"/>
    <mergeCell ref="P22:R22"/>
    <mergeCell ref="T22:V22"/>
    <mergeCell ref="P23:R23"/>
    <mergeCell ref="I25:J25"/>
    <mergeCell ref="K25:L25"/>
    <mergeCell ref="M25:N25"/>
    <mergeCell ref="Q25:R25"/>
    <mergeCell ref="AD3:AF3"/>
    <mergeCell ref="B39:C39"/>
    <mergeCell ref="D39:F39"/>
    <mergeCell ref="B40:C40"/>
    <mergeCell ref="D40:F40"/>
    <mergeCell ref="B41:C41"/>
    <mergeCell ref="D41:F41"/>
    <mergeCell ref="A3:A18"/>
    <mergeCell ref="A22:A37"/>
    <mergeCell ref="A38:A41"/>
    <mergeCell ref="B22:F22"/>
  </mergeCells>
  <pageMargins left="0.31496062992125984" right="0.31496062992125984" top="1.5354330708661419" bottom="0.74803149606299213" header="0.31496062992125984" footer="0.31496062992125984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BCF9-8D7A-4FE0-88C0-0424573538D3}">
  <dimension ref="B2:BF68"/>
  <sheetViews>
    <sheetView topLeftCell="L37" workbookViewId="0">
      <selection activeCell="AM55" sqref="AM55"/>
    </sheetView>
  </sheetViews>
  <sheetFormatPr defaultRowHeight="15" x14ac:dyDescent="0.25"/>
  <cols>
    <col min="1" max="1" width="0.42578125" customWidth="1"/>
    <col min="2" max="2" width="7.140625" customWidth="1"/>
    <col min="3" max="3" width="5.7109375" customWidth="1"/>
    <col min="4" max="4" width="10" customWidth="1"/>
    <col min="5" max="5" width="6.42578125" customWidth="1"/>
    <col min="6" max="6" width="5.7109375" customWidth="1"/>
    <col min="7" max="7" width="13.140625" customWidth="1"/>
    <col min="8" max="8" width="6.42578125" customWidth="1"/>
    <col min="9" max="9" width="5.7109375" customWidth="1"/>
    <col min="10" max="10" width="10" customWidth="1"/>
    <col min="11" max="11" width="6.42578125" customWidth="1"/>
    <col min="12" max="12" width="5.7109375" customWidth="1"/>
    <col min="13" max="13" width="10" customWidth="1"/>
    <col min="14" max="14" width="10.28515625" customWidth="1"/>
    <col min="15" max="16" width="11.140625" customWidth="1"/>
    <col min="17" max="17" width="6.42578125" customWidth="1"/>
    <col min="18" max="18" width="6.5703125" bestFit="1" customWidth="1"/>
    <col min="19" max="19" width="10" customWidth="1"/>
    <col min="20" max="21" width="6.42578125" customWidth="1"/>
    <col min="22" max="22" width="10" customWidth="1"/>
    <col min="23" max="24" width="6.42578125" customWidth="1"/>
    <col min="25" max="25" width="10" customWidth="1"/>
    <col min="26" max="26" width="6.42578125" customWidth="1"/>
    <col min="27" max="27" width="5.7109375" customWidth="1"/>
    <col min="28" max="28" width="10" customWidth="1"/>
    <col min="29" max="30" width="6.42578125" customWidth="1"/>
    <col min="31" max="31" width="10" customWidth="1"/>
    <col min="32" max="32" width="6.42578125" customWidth="1"/>
    <col min="33" max="33" width="5.7109375" customWidth="1"/>
    <col min="34" max="34" width="10" customWidth="1"/>
    <col min="35" max="35" width="6.42578125" customWidth="1"/>
    <col min="36" max="36" width="5.7109375" customWidth="1"/>
    <col min="37" max="37" width="10" customWidth="1"/>
  </cols>
  <sheetData>
    <row r="2" spans="2:58" ht="15.75" x14ac:dyDescent="0.25">
      <c r="B2" s="25" t="s">
        <v>32</v>
      </c>
      <c r="E2" s="25"/>
      <c r="M2" t="s">
        <v>35</v>
      </c>
      <c r="P2" s="25">
        <v>1224.75</v>
      </c>
    </row>
    <row r="3" spans="2:58" ht="15.75" thickBot="1" x14ac:dyDescent="0.3"/>
    <row r="4" spans="2:58" x14ac:dyDescent="0.25">
      <c r="B4" s="453" t="s">
        <v>3</v>
      </c>
      <c r="C4" s="451"/>
      <c r="D4" s="451"/>
      <c r="E4" s="453" t="s">
        <v>4</v>
      </c>
      <c r="F4" s="451"/>
      <c r="G4" s="452"/>
      <c r="H4" s="453" t="s">
        <v>5</v>
      </c>
      <c r="I4" s="451"/>
      <c r="J4" s="454"/>
      <c r="K4" s="375" t="s">
        <v>6</v>
      </c>
      <c r="L4" s="451"/>
      <c r="M4" s="452"/>
      <c r="N4" s="453" t="s">
        <v>7</v>
      </c>
      <c r="O4" s="451"/>
      <c r="P4" s="454"/>
      <c r="Q4" s="375" t="s">
        <v>8</v>
      </c>
      <c r="R4" s="451"/>
      <c r="S4" s="452"/>
      <c r="T4" s="453" t="s">
        <v>9</v>
      </c>
      <c r="U4" s="451"/>
      <c r="V4" s="454"/>
      <c r="W4" s="375" t="s">
        <v>10</v>
      </c>
      <c r="X4" s="451"/>
      <c r="Y4" s="452"/>
      <c r="Z4" s="453" t="s">
        <v>11</v>
      </c>
      <c r="AA4" s="451"/>
      <c r="AB4" s="454"/>
      <c r="AC4" s="453" t="s">
        <v>12</v>
      </c>
      <c r="AD4" s="451"/>
      <c r="AE4" s="454"/>
      <c r="AF4" s="453" t="s">
        <v>13</v>
      </c>
      <c r="AG4" s="451"/>
      <c r="AH4" s="454"/>
      <c r="AI4" s="375" t="s">
        <v>14</v>
      </c>
      <c r="AJ4" s="451"/>
      <c r="AK4" s="454"/>
      <c r="AL4" s="449"/>
      <c r="AM4" s="450"/>
      <c r="AN4" s="450"/>
      <c r="AO4" s="449"/>
      <c r="AP4" s="450"/>
      <c r="AQ4" s="450"/>
      <c r="AR4" s="449"/>
      <c r="AS4" s="450"/>
      <c r="AT4" s="450"/>
      <c r="AU4" s="449"/>
      <c r="AV4" s="450"/>
      <c r="AW4" s="450"/>
      <c r="AX4" s="449"/>
      <c r="AY4" s="450"/>
      <c r="AZ4" s="450"/>
      <c r="BA4" s="449"/>
      <c r="BB4" s="450"/>
      <c r="BC4" s="450"/>
      <c r="BD4" s="449"/>
      <c r="BE4" s="450"/>
      <c r="BF4" s="450"/>
    </row>
    <row r="5" spans="2:58" x14ac:dyDescent="0.25">
      <c r="B5" s="26" t="s">
        <v>29</v>
      </c>
      <c r="C5" s="27" t="s">
        <v>17</v>
      </c>
      <c r="D5" s="27" t="s">
        <v>18</v>
      </c>
      <c r="E5" s="26" t="s">
        <v>29</v>
      </c>
      <c r="F5" s="27" t="s">
        <v>17</v>
      </c>
      <c r="G5" s="35" t="s">
        <v>18</v>
      </c>
      <c r="H5" s="26" t="s">
        <v>29</v>
      </c>
      <c r="I5" s="27" t="s">
        <v>17</v>
      </c>
      <c r="J5" s="28" t="s">
        <v>18</v>
      </c>
      <c r="K5" s="37" t="s">
        <v>29</v>
      </c>
      <c r="L5" s="27" t="s">
        <v>17</v>
      </c>
      <c r="M5" s="35" t="s">
        <v>18</v>
      </c>
      <c r="N5" s="26" t="s">
        <v>29</v>
      </c>
      <c r="O5" s="27" t="s">
        <v>17</v>
      </c>
      <c r="P5" s="28" t="s">
        <v>18</v>
      </c>
      <c r="Q5" s="37" t="s">
        <v>29</v>
      </c>
      <c r="R5" s="27" t="s">
        <v>17</v>
      </c>
      <c r="S5" s="35" t="s">
        <v>18</v>
      </c>
      <c r="T5" s="26" t="s">
        <v>29</v>
      </c>
      <c r="U5" s="27" t="s">
        <v>17</v>
      </c>
      <c r="V5" s="28" t="s">
        <v>18</v>
      </c>
      <c r="W5" s="37" t="s">
        <v>29</v>
      </c>
      <c r="X5" s="27" t="s">
        <v>17</v>
      </c>
      <c r="Y5" s="35" t="s">
        <v>18</v>
      </c>
      <c r="Z5" s="26" t="s">
        <v>29</v>
      </c>
      <c r="AA5" s="27" t="s">
        <v>17</v>
      </c>
      <c r="AB5" s="28" t="s">
        <v>18</v>
      </c>
      <c r="AC5" s="26" t="s">
        <v>29</v>
      </c>
      <c r="AD5" s="27" t="s">
        <v>17</v>
      </c>
      <c r="AE5" s="28" t="s">
        <v>18</v>
      </c>
      <c r="AF5" s="26" t="s">
        <v>29</v>
      </c>
      <c r="AG5" s="27" t="s">
        <v>17</v>
      </c>
      <c r="AH5" s="28" t="s">
        <v>18</v>
      </c>
      <c r="AI5" s="37" t="s">
        <v>29</v>
      </c>
      <c r="AJ5" s="27" t="s">
        <v>17</v>
      </c>
      <c r="AK5" s="28" t="s">
        <v>18</v>
      </c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</row>
    <row r="6" spans="2:58" x14ac:dyDescent="0.25">
      <c r="B6" s="29"/>
      <c r="C6" s="6"/>
      <c r="D6" s="36">
        <f>C6*$P$2</f>
        <v>0</v>
      </c>
      <c r="E6" s="5"/>
      <c r="F6" s="6"/>
      <c r="G6" s="36">
        <f>F6*$P$2</f>
        <v>0</v>
      </c>
      <c r="H6" s="5"/>
      <c r="I6" s="6"/>
      <c r="J6" s="39">
        <f>I6*$P$2</f>
        <v>0</v>
      </c>
      <c r="K6" s="38"/>
      <c r="L6" s="6"/>
      <c r="M6" s="39">
        <f>L6*$P$2</f>
        <v>0</v>
      </c>
      <c r="N6" s="5"/>
      <c r="O6" s="6"/>
      <c r="P6" s="39">
        <f>O6*$P$2</f>
        <v>0</v>
      </c>
      <c r="Q6" s="38"/>
      <c r="R6" s="6"/>
      <c r="S6" s="39">
        <f>R6*$P$2</f>
        <v>0</v>
      </c>
      <c r="T6" s="5"/>
      <c r="U6" s="6"/>
      <c r="V6" s="39">
        <f>U6*$P$2</f>
        <v>0</v>
      </c>
      <c r="W6" s="38"/>
      <c r="X6" s="6"/>
      <c r="Y6" s="39">
        <f t="shared" ref="Y6:Y33" si="0">X6*$P$2</f>
        <v>0</v>
      </c>
      <c r="Z6" s="5"/>
      <c r="AA6" s="6"/>
      <c r="AB6" s="39">
        <f>AA6*$P$2</f>
        <v>0</v>
      </c>
      <c r="AC6" s="5"/>
      <c r="AD6" s="6"/>
      <c r="AE6" s="39">
        <f>AD6*$P$2</f>
        <v>0</v>
      </c>
      <c r="AF6" s="5"/>
      <c r="AG6" s="6"/>
      <c r="AH6" s="39">
        <f>AG6*$P$2</f>
        <v>0</v>
      </c>
      <c r="AI6" s="38"/>
      <c r="AJ6" s="6"/>
      <c r="AK6" s="39">
        <f>AJ6*$P$2</f>
        <v>0</v>
      </c>
    </row>
    <row r="7" spans="2:58" x14ac:dyDescent="0.25">
      <c r="B7" s="29"/>
      <c r="C7" s="6"/>
      <c r="D7" s="36">
        <f t="shared" ref="D7:D26" si="1">C7*$P$2</f>
        <v>0</v>
      </c>
      <c r="E7" s="5"/>
      <c r="F7" s="6"/>
      <c r="G7" s="36">
        <f t="shared" ref="G7:G18" si="2">F7*$P$2</f>
        <v>0</v>
      </c>
      <c r="H7" s="5"/>
      <c r="I7" s="6"/>
      <c r="J7" s="39">
        <f t="shared" ref="J7:J22" si="3">I7*$P$2</f>
        <v>0</v>
      </c>
      <c r="K7" s="38"/>
      <c r="L7" s="6"/>
      <c r="M7" s="39">
        <f t="shared" ref="M7:M26" si="4">L7*$P$2</f>
        <v>0</v>
      </c>
      <c r="N7" s="5"/>
      <c r="O7" s="6"/>
      <c r="P7" s="39">
        <f t="shared" ref="P7:P21" si="5">O7*$P$2</f>
        <v>0</v>
      </c>
      <c r="Q7" s="38"/>
      <c r="R7" s="6"/>
      <c r="S7" s="39">
        <f t="shared" ref="S7:S23" si="6">R7*$P$2</f>
        <v>0</v>
      </c>
      <c r="T7" s="5"/>
      <c r="U7" s="6"/>
      <c r="V7" s="39">
        <f t="shared" ref="V7:V30" si="7">U7*$P$2</f>
        <v>0</v>
      </c>
      <c r="W7" s="38"/>
      <c r="X7" s="6"/>
      <c r="Y7" s="39">
        <f t="shared" si="0"/>
        <v>0</v>
      </c>
      <c r="Z7" s="5"/>
      <c r="AA7" s="6"/>
      <c r="AB7" s="39">
        <f t="shared" ref="AB7:AB30" si="8">AA7*$P$2</f>
        <v>0</v>
      </c>
      <c r="AC7" s="5"/>
      <c r="AD7" s="6"/>
      <c r="AE7" s="39">
        <f t="shared" ref="AE7:AE30" si="9">AD7*$P$2</f>
        <v>0</v>
      </c>
      <c r="AF7" s="5"/>
      <c r="AG7" s="6"/>
      <c r="AH7" s="39">
        <f t="shared" ref="AH7:AH25" si="10">AG7*$P$2</f>
        <v>0</v>
      </c>
      <c r="AI7" s="38"/>
      <c r="AJ7" s="6"/>
      <c r="AK7" s="39">
        <f t="shared" ref="AK7:AK14" si="11">AJ7*$P$2</f>
        <v>0</v>
      </c>
    </row>
    <row r="8" spans="2:58" x14ac:dyDescent="0.25">
      <c r="B8" s="29"/>
      <c r="C8" s="6"/>
      <c r="D8" s="36">
        <f t="shared" si="1"/>
        <v>0</v>
      </c>
      <c r="E8" s="5"/>
      <c r="F8" s="6"/>
      <c r="G8" s="36">
        <f t="shared" si="2"/>
        <v>0</v>
      </c>
      <c r="H8" s="5"/>
      <c r="I8" s="6"/>
      <c r="J8" s="39">
        <f t="shared" si="3"/>
        <v>0</v>
      </c>
      <c r="K8" s="38"/>
      <c r="L8" s="6"/>
      <c r="M8" s="39">
        <f t="shared" si="4"/>
        <v>0</v>
      </c>
      <c r="N8" s="5"/>
      <c r="O8" s="6"/>
      <c r="P8" s="39">
        <f t="shared" si="5"/>
        <v>0</v>
      </c>
      <c r="Q8" s="38"/>
      <c r="R8" s="6"/>
      <c r="S8" s="39">
        <f t="shared" si="6"/>
        <v>0</v>
      </c>
      <c r="T8" s="5"/>
      <c r="U8" s="6"/>
      <c r="V8" s="39">
        <f t="shared" si="7"/>
        <v>0</v>
      </c>
      <c r="W8" s="38"/>
      <c r="X8" s="6"/>
      <c r="Y8" s="39">
        <f t="shared" si="0"/>
        <v>0</v>
      </c>
      <c r="Z8" s="5"/>
      <c r="AA8" s="6"/>
      <c r="AB8" s="39">
        <f t="shared" si="8"/>
        <v>0</v>
      </c>
      <c r="AC8" s="5"/>
      <c r="AD8" s="6"/>
      <c r="AE8" s="39">
        <f t="shared" si="9"/>
        <v>0</v>
      </c>
      <c r="AF8" s="5"/>
      <c r="AG8" s="6"/>
      <c r="AH8" s="39">
        <f t="shared" si="10"/>
        <v>0</v>
      </c>
      <c r="AI8" s="38"/>
      <c r="AJ8" s="6"/>
      <c r="AK8" s="39">
        <f t="shared" si="11"/>
        <v>0</v>
      </c>
    </row>
    <row r="9" spans="2:58" x14ac:dyDescent="0.25">
      <c r="B9" s="29"/>
      <c r="C9" s="6"/>
      <c r="D9" s="36">
        <f t="shared" si="1"/>
        <v>0</v>
      </c>
      <c r="E9" s="40"/>
      <c r="F9" s="6"/>
      <c r="G9" s="36">
        <f t="shared" si="2"/>
        <v>0</v>
      </c>
      <c r="H9" s="5"/>
      <c r="I9" s="6"/>
      <c r="J9" s="39">
        <f t="shared" si="3"/>
        <v>0</v>
      </c>
      <c r="K9" s="58"/>
      <c r="L9" s="6"/>
      <c r="M9" s="39">
        <f t="shared" si="4"/>
        <v>0</v>
      </c>
      <c r="N9" s="5"/>
      <c r="O9" s="6"/>
      <c r="P9" s="39">
        <f t="shared" si="5"/>
        <v>0</v>
      </c>
      <c r="Q9" s="38"/>
      <c r="R9" s="6"/>
      <c r="S9" s="39">
        <f t="shared" si="6"/>
        <v>0</v>
      </c>
      <c r="T9" s="5"/>
      <c r="U9" s="6"/>
      <c r="V9" s="39">
        <f t="shared" si="7"/>
        <v>0</v>
      </c>
      <c r="W9" s="38"/>
      <c r="X9" s="6"/>
      <c r="Y9" s="39">
        <f t="shared" si="0"/>
        <v>0</v>
      </c>
      <c r="Z9" s="5"/>
      <c r="AA9" s="6"/>
      <c r="AB9" s="39">
        <f t="shared" si="8"/>
        <v>0</v>
      </c>
      <c r="AC9" s="5"/>
      <c r="AD9" s="6"/>
      <c r="AE9" s="39">
        <f t="shared" si="9"/>
        <v>0</v>
      </c>
      <c r="AF9" s="40"/>
      <c r="AG9" s="6"/>
      <c r="AH9" s="39">
        <f t="shared" si="10"/>
        <v>0</v>
      </c>
      <c r="AI9" s="38"/>
      <c r="AJ9" s="6"/>
      <c r="AK9" s="39">
        <f t="shared" si="11"/>
        <v>0</v>
      </c>
    </row>
    <row r="10" spans="2:58" x14ac:dyDescent="0.25">
      <c r="B10" s="30"/>
      <c r="C10" s="6"/>
      <c r="D10" s="36">
        <f t="shared" si="1"/>
        <v>0</v>
      </c>
      <c r="E10" s="40"/>
      <c r="F10" s="6"/>
      <c r="G10" s="36">
        <f t="shared" si="2"/>
        <v>0</v>
      </c>
      <c r="H10" s="5"/>
      <c r="I10" s="6"/>
      <c r="J10" s="39">
        <f t="shared" si="3"/>
        <v>0</v>
      </c>
      <c r="K10" s="38"/>
      <c r="L10" s="6"/>
      <c r="M10" s="39">
        <f t="shared" si="4"/>
        <v>0</v>
      </c>
      <c r="N10" s="5"/>
      <c r="O10" s="6"/>
      <c r="P10" s="39">
        <f t="shared" si="5"/>
        <v>0</v>
      </c>
      <c r="Q10" s="38"/>
      <c r="R10" s="6"/>
      <c r="S10" s="39">
        <f t="shared" si="6"/>
        <v>0</v>
      </c>
      <c r="T10" s="5"/>
      <c r="U10" s="6"/>
      <c r="V10" s="39">
        <f t="shared" si="7"/>
        <v>0</v>
      </c>
      <c r="W10" s="38"/>
      <c r="X10" s="6"/>
      <c r="Y10" s="39">
        <f t="shared" si="0"/>
        <v>0</v>
      </c>
      <c r="Z10" s="5"/>
      <c r="AA10" s="6"/>
      <c r="AB10" s="39">
        <f t="shared" si="8"/>
        <v>0</v>
      </c>
      <c r="AC10" s="40"/>
      <c r="AD10" s="6"/>
      <c r="AE10" s="39">
        <f t="shared" si="9"/>
        <v>0</v>
      </c>
      <c r="AF10" s="5"/>
      <c r="AG10" s="6"/>
      <c r="AH10" s="39">
        <f t="shared" si="10"/>
        <v>0</v>
      </c>
      <c r="AI10" s="38"/>
      <c r="AJ10" s="6"/>
      <c r="AK10" s="39">
        <f t="shared" si="11"/>
        <v>0</v>
      </c>
    </row>
    <row r="11" spans="2:58" x14ac:dyDescent="0.25">
      <c r="B11" s="29"/>
      <c r="C11" s="6"/>
      <c r="D11" s="36">
        <f t="shared" si="1"/>
        <v>0</v>
      </c>
      <c r="E11" s="40"/>
      <c r="F11" s="6"/>
      <c r="G11" s="36">
        <f t="shared" si="2"/>
        <v>0</v>
      </c>
      <c r="H11" s="5"/>
      <c r="I11" s="6"/>
      <c r="J11" s="39">
        <f t="shared" si="3"/>
        <v>0</v>
      </c>
      <c r="K11" s="38"/>
      <c r="L11" s="6"/>
      <c r="M11" s="39">
        <f t="shared" si="4"/>
        <v>0</v>
      </c>
      <c r="N11" s="5"/>
      <c r="O11" s="6"/>
      <c r="P11" s="39">
        <f t="shared" si="5"/>
        <v>0</v>
      </c>
      <c r="Q11" s="58"/>
      <c r="R11" s="6"/>
      <c r="S11" s="39">
        <f t="shared" si="6"/>
        <v>0</v>
      </c>
      <c r="T11" s="5"/>
      <c r="U11" s="6"/>
      <c r="V11" s="39">
        <f t="shared" si="7"/>
        <v>0</v>
      </c>
      <c r="W11" s="38"/>
      <c r="X11" s="6"/>
      <c r="Y11" s="39">
        <f t="shared" si="0"/>
        <v>0</v>
      </c>
      <c r="Z11" s="5"/>
      <c r="AA11" s="6"/>
      <c r="AB11" s="39">
        <f t="shared" si="8"/>
        <v>0</v>
      </c>
      <c r="AC11" s="5"/>
      <c r="AD11" s="6"/>
      <c r="AE11" s="39">
        <f t="shared" si="9"/>
        <v>0</v>
      </c>
      <c r="AF11" s="5"/>
      <c r="AG11" s="6"/>
      <c r="AH11" s="39">
        <f t="shared" si="10"/>
        <v>0</v>
      </c>
      <c r="AI11" s="38"/>
      <c r="AJ11" s="6"/>
      <c r="AK11" s="39">
        <f t="shared" si="11"/>
        <v>0</v>
      </c>
    </row>
    <row r="12" spans="2:58" x14ac:dyDescent="0.25">
      <c r="B12" s="29"/>
      <c r="C12" s="6"/>
      <c r="D12" s="36">
        <f t="shared" si="1"/>
        <v>0</v>
      </c>
      <c r="E12" s="40"/>
      <c r="F12" s="6"/>
      <c r="G12" s="36">
        <f t="shared" si="2"/>
        <v>0</v>
      </c>
      <c r="H12" s="5"/>
      <c r="I12" s="6"/>
      <c r="J12" s="39">
        <f t="shared" si="3"/>
        <v>0</v>
      </c>
      <c r="K12" s="38"/>
      <c r="L12" s="6"/>
      <c r="M12" s="39">
        <f t="shared" si="4"/>
        <v>0</v>
      </c>
      <c r="N12" s="5"/>
      <c r="O12" s="6"/>
      <c r="P12" s="39">
        <f t="shared" si="5"/>
        <v>0</v>
      </c>
      <c r="Q12" s="38"/>
      <c r="R12" s="6"/>
      <c r="S12" s="39">
        <f t="shared" si="6"/>
        <v>0</v>
      </c>
      <c r="T12" s="5"/>
      <c r="U12" s="6"/>
      <c r="V12" s="39">
        <f t="shared" si="7"/>
        <v>0</v>
      </c>
      <c r="W12" s="38"/>
      <c r="X12" s="6"/>
      <c r="Y12" s="39">
        <f t="shared" si="0"/>
        <v>0</v>
      </c>
      <c r="Z12" s="5"/>
      <c r="AA12" s="6"/>
      <c r="AB12" s="39">
        <f t="shared" si="8"/>
        <v>0</v>
      </c>
      <c r="AC12" s="5"/>
      <c r="AD12" s="6"/>
      <c r="AE12" s="39">
        <f t="shared" si="9"/>
        <v>0</v>
      </c>
      <c r="AF12" s="5"/>
      <c r="AG12" s="6"/>
      <c r="AH12" s="39">
        <f t="shared" si="10"/>
        <v>0</v>
      </c>
      <c r="AI12" s="38"/>
      <c r="AJ12" s="6"/>
      <c r="AK12" s="39">
        <f t="shared" si="11"/>
        <v>0</v>
      </c>
    </row>
    <row r="13" spans="2:58" x14ac:dyDescent="0.25">
      <c r="B13" s="29"/>
      <c r="C13" s="6"/>
      <c r="D13" s="36">
        <f t="shared" si="1"/>
        <v>0</v>
      </c>
      <c r="E13" s="40"/>
      <c r="F13" s="6"/>
      <c r="G13" s="36">
        <f t="shared" si="2"/>
        <v>0</v>
      </c>
      <c r="H13" s="5"/>
      <c r="I13" s="6"/>
      <c r="J13" s="39">
        <f t="shared" si="3"/>
        <v>0</v>
      </c>
      <c r="K13" s="38"/>
      <c r="L13" s="6"/>
      <c r="M13" s="39">
        <f t="shared" si="4"/>
        <v>0</v>
      </c>
      <c r="N13" s="5"/>
      <c r="O13" s="6"/>
      <c r="P13" s="39">
        <f t="shared" si="5"/>
        <v>0</v>
      </c>
      <c r="Q13" s="38"/>
      <c r="R13" s="6"/>
      <c r="S13" s="39">
        <f t="shared" si="6"/>
        <v>0</v>
      </c>
      <c r="T13" s="5"/>
      <c r="U13" s="6"/>
      <c r="V13" s="39">
        <f t="shared" si="7"/>
        <v>0</v>
      </c>
      <c r="W13" s="38"/>
      <c r="X13" s="6"/>
      <c r="Y13" s="39">
        <f t="shared" si="0"/>
        <v>0</v>
      </c>
      <c r="Z13" s="5"/>
      <c r="AA13" s="6"/>
      <c r="AB13" s="39">
        <f t="shared" si="8"/>
        <v>0</v>
      </c>
      <c r="AC13" s="40"/>
      <c r="AD13" s="6"/>
      <c r="AE13" s="39">
        <f t="shared" si="9"/>
        <v>0</v>
      </c>
      <c r="AF13" s="5"/>
      <c r="AG13" s="6"/>
      <c r="AH13" s="39">
        <f t="shared" si="10"/>
        <v>0</v>
      </c>
      <c r="AI13" s="38"/>
      <c r="AJ13" s="6"/>
      <c r="AK13" s="39">
        <f t="shared" si="11"/>
        <v>0</v>
      </c>
    </row>
    <row r="14" spans="2:58" x14ac:dyDescent="0.25">
      <c r="B14" s="29"/>
      <c r="C14" s="6"/>
      <c r="D14" s="36">
        <f t="shared" si="1"/>
        <v>0</v>
      </c>
      <c r="E14" s="40"/>
      <c r="F14" s="6"/>
      <c r="G14" s="36">
        <f t="shared" si="2"/>
        <v>0</v>
      </c>
      <c r="H14" s="5"/>
      <c r="I14" s="6"/>
      <c r="J14" s="39">
        <f t="shared" si="3"/>
        <v>0</v>
      </c>
      <c r="K14" s="38"/>
      <c r="L14" s="6"/>
      <c r="M14" s="39">
        <f t="shared" si="4"/>
        <v>0</v>
      </c>
      <c r="N14" s="5"/>
      <c r="O14" s="6"/>
      <c r="P14" s="39">
        <f t="shared" si="5"/>
        <v>0</v>
      </c>
      <c r="Q14" s="38"/>
      <c r="R14" s="6"/>
      <c r="S14" s="39">
        <f t="shared" si="6"/>
        <v>0</v>
      </c>
      <c r="T14" s="5"/>
      <c r="U14" s="6"/>
      <c r="V14" s="39">
        <f t="shared" si="7"/>
        <v>0</v>
      </c>
      <c r="W14" s="38"/>
      <c r="X14" s="6"/>
      <c r="Y14" s="39">
        <f t="shared" si="0"/>
        <v>0</v>
      </c>
      <c r="Z14" s="5"/>
      <c r="AA14" s="6"/>
      <c r="AB14" s="39">
        <f t="shared" si="8"/>
        <v>0</v>
      </c>
      <c r="AC14" s="40"/>
      <c r="AD14" s="6"/>
      <c r="AE14" s="39">
        <f t="shared" si="9"/>
        <v>0</v>
      </c>
      <c r="AF14" s="5"/>
      <c r="AG14" s="6"/>
      <c r="AH14" s="39">
        <f t="shared" si="10"/>
        <v>0</v>
      </c>
      <c r="AI14" s="38"/>
      <c r="AJ14" s="6"/>
      <c r="AK14" s="39">
        <f t="shared" si="11"/>
        <v>0</v>
      </c>
    </row>
    <row r="15" spans="2:58" x14ac:dyDescent="0.25">
      <c r="B15" s="29"/>
      <c r="C15" s="6"/>
      <c r="D15" s="36">
        <f t="shared" si="1"/>
        <v>0</v>
      </c>
      <c r="E15" s="40"/>
      <c r="F15" s="6"/>
      <c r="G15" s="36">
        <f t="shared" si="2"/>
        <v>0</v>
      </c>
      <c r="H15" s="5"/>
      <c r="I15" s="6"/>
      <c r="J15" s="39">
        <f t="shared" si="3"/>
        <v>0</v>
      </c>
      <c r="K15" s="38"/>
      <c r="L15" s="6"/>
      <c r="M15" s="39">
        <f t="shared" si="4"/>
        <v>0</v>
      </c>
      <c r="N15" s="5"/>
      <c r="O15" s="6"/>
      <c r="P15" s="39">
        <f t="shared" si="5"/>
        <v>0</v>
      </c>
      <c r="Q15" s="38"/>
      <c r="R15" s="6"/>
      <c r="S15" s="39">
        <f t="shared" si="6"/>
        <v>0</v>
      </c>
      <c r="T15" s="5"/>
      <c r="U15" s="6"/>
      <c r="V15" s="39">
        <f t="shared" si="7"/>
        <v>0</v>
      </c>
      <c r="W15" s="38"/>
      <c r="X15" s="6"/>
      <c r="Y15" s="39">
        <f t="shared" si="0"/>
        <v>0</v>
      </c>
      <c r="Z15" s="5"/>
      <c r="AA15" s="6"/>
      <c r="AB15" s="39">
        <f t="shared" si="8"/>
        <v>0</v>
      </c>
      <c r="AC15" s="5"/>
      <c r="AD15" s="6"/>
      <c r="AE15" s="39">
        <f t="shared" si="9"/>
        <v>0</v>
      </c>
      <c r="AF15" s="5"/>
      <c r="AG15" s="6"/>
      <c r="AH15" s="39">
        <f t="shared" si="10"/>
        <v>0</v>
      </c>
      <c r="AI15" s="38"/>
      <c r="AJ15" s="6"/>
      <c r="AK15" s="39"/>
    </row>
    <row r="16" spans="2:58" x14ac:dyDescent="0.25">
      <c r="B16" s="29"/>
      <c r="C16" s="6"/>
      <c r="D16" s="36">
        <f t="shared" si="1"/>
        <v>0</v>
      </c>
      <c r="E16" s="40"/>
      <c r="F16" s="6"/>
      <c r="G16" s="36">
        <f t="shared" si="2"/>
        <v>0</v>
      </c>
      <c r="H16" s="5"/>
      <c r="I16" s="6"/>
      <c r="J16" s="39">
        <f t="shared" si="3"/>
        <v>0</v>
      </c>
      <c r="K16" s="38"/>
      <c r="L16" s="6"/>
      <c r="M16" s="39">
        <f t="shared" si="4"/>
        <v>0</v>
      </c>
      <c r="N16" s="5"/>
      <c r="O16" s="6"/>
      <c r="P16" s="39">
        <f t="shared" si="5"/>
        <v>0</v>
      </c>
      <c r="Q16" s="38"/>
      <c r="R16" s="6"/>
      <c r="S16" s="39">
        <f t="shared" si="6"/>
        <v>0</v>
      </c>
      <c r="T16" s="5"/>
      <c r="U16" s="6"/>
      <c r="V16" s="39">
        <f t="shared" si="7"/>
        <v>0</v>
      </c>
      <c r="W16" s="38"/>
      <c r="X16" s="6"/>
      <c r="Y16" s="39">
        <f t="shared" si="0"/>
        <v>0</v>
      </c>
      <c r="Z16" s="5"/>
      <c r="AA16" s="6"/>
      <c r="AB16" s="39">
        <f t="shared" si="8"/>
        <v>0</v>
      </c>
      <c r="AC16" s="5"/>
      <c r="AD16" s="6"/>
      <c r="AE16" s="39">
        <f t="shared" si="9"/>
        <v>0</v>
      </c>
      <c r="AF16" s="5"/>
      <c r="AG16" s="6"/>
      <c r="AH16" s="39">
        <f t="shared" si="10"/>
        <v>0</v>
      </c>
      <c r="AI16" s="38"/>
      <c r="AJ16" s="6"/>
      <c r="AK16" s="39"/>
    </row>
    <row r="17" spans="2:37" x14ac:dyDescent="0.25">
      <c r="B17" s="29"/>
      <c r="C17" s="6"/>
      <c r="D17" s="32">
        <f t="shared" si="1"/>
        <v>0</v>
      </c>
      <c r="E17" s="40"/>
      <c r="F17" s="6"/>
      <c r="G17" s="36">
        <f t="shared" si="2"/>
        <v>0</v>
      </c>
      <c r="H17" s="5"/>
      <c r="I17" s="6"/>
      <c r="J17" s="39">
        <f t="shared" si="3"/>
        <v>0</v>
      </c>
      <c r="K17" s="38"/>
      <c r="L17" s="6"/>
      <c r="M17" s="39">
        <f>L17*$P$2</f>
        <v>0</v>
      </c>
      <c r="N17" s="5"/>
      <c r="O17" s="6"/>
      <c r="P17" s="39">
        <f t="shared" si="5"/>
        <v>0</v>
      </c>
      <c r="Q17" s="38"/>
      <c r="R17" s="6"/>
      <c r="S17" s="39">
        <f t="shared" si="6"/>
        <v>0</v>
      </c>
      <c r="T17" s="5"/>
      <c r="U17" s="6"/>
      <c r="V17" s="39">
        <f t="shared" si="7"/>
        <v>0</v>
      </c>
      <c r="W17" s="38"/>
      <c r="X17" s="6"/>
      <c r="Y17" s="39">
        <f t="shared" si="0"/>
        <v>0</v>
      </c>
      <c r="Z17" s="5"/>
      <c r="AA17" s="6"/>
      <c r="AB17" s="39">
        <f t="shared" si="8"/>
        <v>0</v>
      </c>
      <c r="AC17" s="5"/>
      <c r="AD17" s="6"/>
      <c r="AE17" s="39">
        <f t="shared" si="9"/>
        <v>0</v>
      </c>
      <c r="AF17" s="5"/>
      <c r="AG17" s="6"/>
      <c r="AH17" s="39">
        <f t="shared" si="10"/>
        <v>0</v>
      </c>
      <c r="AI17" s="38"/>
      <c r="AJ17" s="6"/>
      <c r="AK17" s="39"/>
    </row>
    <row r="18" spans="2:37" x14ac:dyDescent="0.25">
      <c r="B18" s="29"/>
      <c r="C18" s="6"/>
      <c r="D18" s="32">
        <f t="shared" si="1"/>
        <v>0</v>
      </c>
      <c r="E18" s="40"/>
      <c r="F18" s="6"/>
      <c r="G18" s="36">
        <f t="shared" si="2"/>
        <v>0</v>
      </c>
      <c r="H18" s="5"/>
      <c r="I18" s="6"/>
      <c r="J18" s="39">
        <f t="shared" si="3"/>
        <v>0</v>
      </c>
      <c r="K18" s="38"/>
      <c r="L18" s="6"/>
      <c r="M18" s="39">
        <f>L18*$P$2</f>
        <v>0</v>
      </c>
      <c r="N18" s="5"/>
      <c r="O18" s="6"/>
      <c r="P18" s="39">
        <f t="shared" si="5"/>
        <v>0</v>
      </c>
      <c r="Q18" s="38"/>
      <c r="R18" s="6"/>
      <c r="S18" s="39">
        <f t="shared" si="6"/>
        <v>0</v>
      </c>
      <c r="T18" s="5"/>
      <c r="U18" s="6"/>
      <c r="V18" s="39">
        <f t="shared" si="7"/>
        <v>0</v>
      </c>
      <c r="W18" s="38"/>
      <c r="X18" s="6"/>
      <c r="Y18" s="39">
        <f t="shared" si="0"/>
        <v>0</v>
      </c>
      <c r="Z18" s="5"/>
      <c r="AA18" s="6"/>
      <c r="AB18" s="39">
        <f t="shared" si="8"/>
        <v>0</v>
      </c>
      <c r="AC18" s="5"/>
      <c r="AD18" s="6"/>
      <c r="AE18" s="39">
        <f t="shared" si="9"/>
        <v>0</v>
      </c>
      <c r="AF18" s="40"/>
      <c r="AG18" s="6"/>
      <c r="AH18" s="39">
        <f t="shared" si="10"/>
        <v>0</v>
      </c>
      <c r="AI18" s="38"/>
      <c r="AJ18" s="6"/>
      <c r="AK18" s="39"/>
    </row>
    <row r="19" spans="2:37" x14ac:dyDescent="0.25">
      <c r="B19" s="29"/>
      <c r="C19" s="6"/>
      <c r="D19" s="32">
        <f t="shared" si="1"/>
        <v>0</v>
      </c>
      <c r="E19" s="29"/>
      <c r="F19" s="6"/>
      <c r="G19" s="36"/>
      <c r="H19" s="5"/>
      <c r="I19" s="6"/>
      <c r="J19" s="39">
        <f t="shared" si="3"/>
        <v>0</v>
      </c>
      <c r="K19" s="38"/>
      <c r="L19" s="6"/>
      <c r="M19" s="39">
        <f>L19*$P$2</f>
        <v>0</v>
      </c>
      <c r="N19" s="5"/>
      <c r="O19" s="6"/>
      <c r="P19" s="39">
        <f t="shared" si="5"/>
        <v>0</v>
      </c>
      <c r="Q19" s="38"/>
      <c r="R19" s="6"/>
      <c r="S19" s="39">
        <f t="shared" si="6"/>
        <v>0</v>
      </c>
      <c r="T19" s="5"/>
      <c r="U19" s="6"/>
      <c r="V19" s="39">
        <f t="shared" si="7"/>
        <v>0</v>
      </c>
      <c r="W19" s="38"/>
      <c r="X19" s="6"/>
      <c r="Y19" s="39">
        <f t="shared" si="0"/>
        <v>0</v>
      </c>
      <c r="Z19" s="5"/>
      <c r="AA19" s="6"/>
      <c r="AB19" s="39">
        <f t="shared" si="8"/>
        <v>0</v>
      </c>
      <c r="AC19" s="5"/>
      <c r="AD19" s="6"/>
      <c r="AE19" s="39">
        <f t="shared" si="9"/>
        <v>0</v>
      </c>
      <c r="AF19" s="5"/>
      <c r="AG19" s="6"/>
      <c r="AH19" s="39">
        <f t="shared" si="10"/>
        <v>0</v>
      </c>
      <c r="AI19" s="38"/>
      <c r="AJ19" s="6"/>
      <c r="AK19" s="39"/>
    </row>
    <row r="20" spans="2:37" x14ac:dyDescent="0.25">
      <c r="B20" s="29"/>
      <c r="C20" s="6"/>
      <c r="D20" s="32">
        <f t="shared" si="1"/>
        <v>0</v>
      </c>
      <c r="E20" s="29"/>
      <c r="F20" s="6"/>
      <c r="G20" s="36"/>
      <c r="H20" s="5"/>
      <c r="I20" s="6"/>
      <c r="J20" s="39">
        <f t="shared" si="3"/>
        <v>0</v>
      </c>
      <c r="K20" s="38"/>
      <c r="L20" s="6"/>
      <c r="M20" s="39">
        <f t="shared" si="4"/>
        <v>0</v>
      </c>
      <c r="N20" s="5"/>
      <c r="O20" s="6"/>
      <c r="P20" s="39">
        <f t="shared" si="5"/>
        <v>0</v>
      </c>
      <c r="Q20" s="38"/>
      <c r="R20" s="6"/>
      <c r="S20" s="39">
        <f t="shared" si="6"/>
        <v>0</v>
      </c>
      <c r="T20" s="5"/>
      <c r="U20" s="6"/>
      <c r="V20" s="39">
        <f t="shared" si="7"/>
        <v>0</v>
      </c>
      <c r="W20" s="38"/>
      <c r="X20" s="6"/>
      <c r="Y20" s="39">
        <f t="shared" si="0"/>
        <v>0</v>
      </c>
      <c r="Z20" s="5"/>
      <c r="AA20" s="6"/>
      <c r="AB20" s="39">
        <f t="shared" si="8"/>
        <v>0</v>
      </c>
      <c r="AC20" s="5"/>
      <c r="AD20" s="6"/>
      <c r="AE20" s="39">
        <f t="shared" si="9"/>
        <v>0</v>
      </c>
      <c r="AF20" s="40"/>
      <c r="AG20" s="6"/>
      <c r="AH20" s="39">
        <f t="shared" si="10"/>
        <v>0</v>
      </c>
      <c r="AI20" s="38"/>
      <c r="AJ20" s="6"/>
      <c r="AK20" s="8"/>
    </row>
    <row r="21" spans="2:37" x14ac:dyDescent="0.25">
      <c r="B21" s="29"/>
      <c r="C21" s="6"/>
      <c r="D21" s="32">
        <f t="shared" si="1"/>
        <v>0</v>
      </c>
      <c r="E21" s="29"/>
      <c r="F21" s="6"/>
      <c r="G21" s="36"/>
      <c r="H21" s="5"/>
      <c r="I21" s="6"/>
      <c r="J21" s="39">
        <f t="shared" si="3"/>
        <v>0</v>
      </c>
      <c r="K21" s="38"/>
      <c r="L21" s="6"/>
      <c r="M21" s="39">
        <f t="shared" si="4"/>
        <v>0</v>
      </c>
      <c r="N21" s="40"/>
      <c r="O21" s="6"/>
      <c r="P21" s="39">
        <f t="shared" si="5"/>
        <v>0</v>
      </c>
      <c r="Q21" s="38"/>
      <c r="R21" s="6"/>
      <c r="S21" s="39">
        <f t="shared" si="6"/>
        <v>0</v>
      </c>
      <c r="T21" s="5"/>
      <c r="U21" s="6"/>
      <c r="V21" s="39">
        <f t="shared" si="7"/>
        <v>0</v>
      </c>
      <c r="W21" s="38"/>
      <c r="X21" s="6"/>
      <c r="Y21" s="39">
        <f t="shared" si="0"/>
        <v>0</v>
      </c>
      <c r="Z21" s="5"/>
      <c r="AA21" s="6"/>
      <c r="AB21" s="39">
        <f t="shared" si="8"/>
        <v>0</v>
      </c>
      <c r="AC21" s="40"/>
      <c r="AD21" s="6"/>
      <c r="AE21" s="39">
        <f t="shared" si="9"/>
        <v>0</v>
      </c>
      <c r="AF21" s="5"/>
      <c r="AG21" s="6"/>
      <c r="AH21" s="39">
        <f t="shared" si="10"/>
        <v>0</v>
      </c>
      <c r="AI21" s="38"/>
      <c r="AJ21" s="6"/>
      <c r="AK21" s="8"/>
    </row>
    <row r="22" spans="2:37" x14ac:dyDescent="0.25">
      <c r="B22" s="29"/>
      <c r="C22" s="6"/>
      <c r="D22" s="32">
        <f t="shared" si="1"/>
        <v>0</v>
      </c>
      <c r="E22" s="29"/>
      <c r="F22" s="6"/>
      <c r="G22" s="36"/>
      <c r="H22" s="5"/>
      <c r="I22" s="6"/>
      <c r="J22" s="39">
        <f t="shared" si="3"/>
        <v>0</v>
      </c>
      <c r="K22" s="38"/>
      <c r="L22" s="6"/>
      <c r="M22" s="39">
        <f t="shared" si="4"/>
        <v>0</v>
      </c>
      <c r="N22" s="5"/>
      <c r="O22" s="6"/>
      <c r="P22" s="39"/>
      <c r="Q22" s="38"/>
      <c r="R22" s="6"/>
      <c r="S22" s="39">
        <f t="shared" si="6"/>
        <v>0</v>
      </c>
      <c r="T22" s="5"/>
      <c r="U22" s="6"/>
      <c r="V22" s="39">
        <f t="shared" si="7"/>
        <v>0</v>
      </c>
      <c r="W22" s="38"/>
      <c r="X22" s="6"/>
      <c r="Y22" s="39">
        <f t="shared" si="0"/>
        <v>0</v>
      </c>
      <c r="Z22" s="5"/>
      <c r="AA22" s="6"/>
      <c r="AB22" s="39">
        <f t="shared" si="8"/>
        <v>0</v>
      </c>
      <c r="AC22" s="5"/>
      <c r="AD22" s="6"/>
      <c r="AE22" s="39">
        <f t="shared" si="9"/>
        <v>0</v>
      </c>
      <c r="AF22" s="5"/>
      <c r="AG22" s="6"/>
      <c r="AH22" s="39">
        <f t="shared" si="10"/>
        <v>0</v>
      </c>
      <c r="AI22" s="38"/>
      <c r="AJ22" s="6"/>
      <c r="AK22" s="8"/>
    </row>
    <row r="23" spans="2:37" x14ac:dyDescent="0.25">
      <c r="B23" s="29"/>
      <c r="C23" s="6"/>
      <c r="D23" s="32">
        <f t="shared" si="1"/>
        <v>0</v>
      </c>
      <c r="E23" s="29"/>
      <c r="F23" s="6"/>
      <c r="G23" s="36"/>
      <c r="H23" s="5"/>
      <c r="I23" s="6"/>
      <c r="J23" s="39"/>
      <c r="K23" s="58"/>
      <c r="L23" s="6"/>
      <c r="M23" s="39">
        <f t="shared" si="4"/>
        <v>0</v>
      </c>
      <c r="N23" s="5"/>
      <c r="O23" s="6"/>
      <c r="P23" s="39"/>
      <c r="Q23" s="38"/>
      <c r="R23" s="6"/>
      <c r="S23" s="39">
        <f t="shared" si="6"/>
        <v>0</v>
      </c>
      <c r="T23" s="5"/>
      <c r="U23" s="6"/>
      <c r="V23" s="39">
        <f t="shared" si="7"/>
        <v>0</v>
      </c>
      <c r="W23" s="38"/>
      <c r="X23" s="6"/>
      <c r="Y23" s="39">
        <f t="shared" si="0"/>
        <v>0</v>
      </c>
      <c r="Z23" s="5"/>
      <c r="AA23" s="6"/>
      <c r="AB23" s="39">
        <f t="shared" si="8"/>
        <v>0</v>
      </c>
      <c r="AC23" s="5"/>
      <c r="AD23" s="6"/>
      <c r="AE23" s="39">
        <f t="shared" si="9"/>
        <v>0</v>
      </c>
      <c r="AF23" s="5"/>
      <c r="AG23" s="6"/>
      <c r="AH23" s="39">
        <f t="shared" si="10"/>
        <v>0</v>
      </c>
      <c r="AI23" s="38"/>
      <c r="AJ23" s="6"/>
      <c r="AK23" s="8"/>
    </row>
    <row r="24" spans="2:37" x14ac:dyDescent="0.25">
      <c r="B24" s="29"/>
      <c r="C24" s="6"/>
      <c r="D24" s="32">
        <f t="shared" si="1"/>
        <v>0</v>
      </c>
      <c r="E24" s="29"/>
      <c r="F24" s="6"/>
      <c r="G24" s="36"/>
      <c r="H24" s="5"/>
      <c r="I24" s="6"/>
      <c r="J24" s="39"/>
      <c r="K24" s="38"/>
      <c r="L24" s="6"/>
      <c r="M24" s="39">
        <f t="shared" si="4"/>
        <v>0</v>
      </c>
      <c r="N24" s="5"/>
      <c r="O24" s="6"/>
      <c r="P24" s="39"/>
      <c r="Q24" s="38"/>
      <c r="R24" s="6"/>
      <c r="S24" s="39"/>
      <c r="T24" s="5"/>
      <c r="U24" s="6"/>
      <c r="V24" s="39">
        <f t="shared" si="7"/>
        <v>0</v>
      </c>
      <c r="W24" s="38"/>
      <c r="X24" s="6"/>
      <c r="Y24" s="39">
        <f t="shared" si="0"/>
        <v>0</v>
      </c>
      <c r="Z24" s="5"/>
      <c r="AA24" s="6"/>
      <c r="AB24" s="39">
        <f t="shared" si="8"/>
        <v>0</v>
      </c>
      <c r="AC24" s="5"/>
      <c r="AD24" s="6"/>
      <c r="AE24" s="39">
        <f t="shared" si="9"/>
        <v>0</v>
      </c>
      <c r="AF24" s="5"/>
      <c r="AG24" s="6"/>
      <c r="AH24" s="39">
        <f t="shared" si="10"/>
        <v>0</v>
      </c>
      <c r="AI24" s="38"/>
      <c r="AJ24" s="6"/>
      <c r="AK24" s="8"/>
    </row>
    <row r="25" spans="2:37" x14ac:dyDescent="0.25">
      <c r="B25" s="29"/>
      <c r="C25" s="6"/>
      <c r="D25" s="32">
        <f t="shared" si="1"/>
        <v>0</v>
      </c>
      <c r="E25" s="29"/>
      <c r="F25" s="6"/>
      <c r="G25" s="36"/>
      <c r="H25" s="5"/>
      <c r="I25" s="6"/>
      <c r="J25" s="39"/>
      <c r="K25" s="38"/>
      <c r="L25" s="6"/>
      <c r="M25" s="39">
        <f t="shared" si="4"/>
        <v>0</v>
      </c>
      <c r="N25" s="5"/>
      <c r="O25" s="6"/>
      <c r="P25" s="39"/>
      <c r="Q25" s="38"/>
      <c r="R25" s="6"/>
      <c r="S25" s="39"/>
      <c r="T25" s="5"/>
      <c r="U25" s="6"/>
      <c r="V25" s="39">
        <f t="shared" si="7"/>
        <v>0</v>
      </c>
      <c r="W25" s="38"/>
      <c r="X25" s="6"/>
      <c r="Y25" s="39">
        <f t="shared" si="0"/>
        <v>0</v>
      </c>
      <c r="Z25" s="5"/>
      <c r="AA25" s="6"/>
      <c r="AB25" s="39">
        <f t="shared" si="8"/>
        <v>0</v>
      </c>
      <c r="AC25" s="5"/>
      <c r="AD25" s="6"/>
      <c r="AE25" s="39">
        <f t="shared" si="9"/>
        <v>0</v>
      </c>
      <c r="AF25" s="5"/>
      <c r="AG25" s="6"/>
      <c r="AH25" s="39">
        <f t="shared" si="10"/>
        <v>0</v>
      </c>
      <c r="AI25" s="38"/>
      <c r="AJ25" s="6"/>
      <c r="AK25" s="8"/>
    </row>
    <row r="26" spans="2:37" x14ac:dyDescent="0.25">
      <c r="B26" s="29"/>
      <c r="C26" s="6"/>
      <c r="D26" s="32">
        <f t="shared" si="1"/>
        <v>0</v>
      </c>
      <c r="E26" s="29"/>
      <c r="F26" s="6"/>
      <c r="G26" s="36"/>
      <c r="H26" s="5"/>
      <c r="I26" s="6"/>
      <c r="J26" s="39"/>
      <c r="K26" s="38"/>
      <c r="L26" s="6"/>
      <c r="M26" s="39">
        <f t="shared" si="4"/>
        <v>0</v>
      </c>
      <c r="N26" s="5"/>
      <c r="O26" s="6"/>
      <c r="P26" s="39"/>
      <c r="Q26" s="38"/>
      <c r="R26" s="6"/>
      <c r="S26" s="39"/>
      <c r="T26" s="5"/>
      <c r="U26" s="6"/>
      <c r="V26" s="39">
        <f t="shared" si="7"/>
        <v>0</v>
      </c>
      <c r="W26" s="38"/>
      <c r="X26" s="6"/>
      <c r="Y26" s="36">
        <f t="shared" si="0"/>
        <v>0</v>
      </c>
      <c r="Z26" s="5"/>
      <c r="AA26" s="6"/>
      <c r="AB26" s="39">
        <f t="shared" si="8"/>
        <v>0</v>
      </c>
      <c r="AC26" s="5"/>
      <c r="AD26" s="6"/>
      <c r="AE26" s="39">
        <f t="shared" si="9"/>
        <v>0</v>
      </c>
      <c r="AF26" s="5"/>
      <c r="AG26" s="6"/>
      <c r="AH26" s="39"/>
      <c r="AI26" s="38"/>
      <c r="AJ26" s="6"/>
      <c r="AK26" s="8"/>
    </row>
    <row r="27" spans="2:37" x14ac:dyDescent="0.25">
      <c r="B27" s="29"/>
      <c r="C27" s="6"/>
      <c r="D27" s="32"/>
      <c r="E27" s="29"/>
      <c r="F27" s="6"/>
      <c r="G27" s="36"/>
      <c r="H27" s="5"/>
      <c r="I27" s="6"/>
      <c r="J27" s="39"/>
      <c r="K27" s="38"/>
      <c r="L27" s="6"/>
      <c r="M27" s="39"/>
      <c r="N27" s="5"/>
      <c r="O27" s="6"/>
      <c r="P27" s="39"/>
      <c r="Q27" s="38"/>
      <c r="R27" s="6"/>
      <c r="S27" s="39"/>
      <c r="T27" s="5"/>
      <c r="U27" s="6"/>
      <c r="V27" s="39">
        <f t="shared" si="7"/>
        <v>0</v>
      </c>
      <c r="W27" s="38"/>
      <c r="X27" s="6"/>
      <c r="Y27" s="36">
        <f t="shared" si="0"/>
        <v>0</v>
      </c>
      <c r="Z27" s="5"/>
      <c r="AA27" s="6"/>
      <c r="AB27" s="39">
        <f t="shared" si="8"/>
        <v>0</v>
      </c>
      <c r="AC27" s="5"/>
      <c r="AD27" s="6"/>
      <c r="AE27" s="39">
        <f t="shared" si="9"/>
        <v>0</v>
      </c>
      <c r="AF27" s="5"/>
      <c r="AG27" s="6"/>
      <c r="AH27" s="39"/>
      <c r="AI27" s="38"/>
      <c r="AJ27" s="6"/>
      <c r="AK27" s="8"/>
    </row>
    <row r="28" spans="2:37" x14ac:dyDescent="0.25">
      <c r="B28" s="29"/>
      <c r="C28" s="6"/>
      <c r="D28" s="32"/>
      <c r="E28" s="29"/>
      <c r="F28" s="6"/>
      <c r="G28" s="36"/>
      <c r="H28" s="5"/>
      <c r="I28" s="6"/>
      <c r="J28" s="39"/>
      <c r="K28" s="38"/>
      <c r="L28" s="6"/>
      <c r="M28" s="39"/>
      <c r="N28" s="5"/>
      <c r="O28" s="6"/>
      <c r="P28" s="39"/>
      <c r="Q28" s="38"/>
      <c r="R28" s="6"/>
      <c r="S28" s="39"/>
      <c r="T28" s="5"/>
      <c r="U28" s="6"/>
      <c r="V28" s="39">
        <f t="shared" si="7"/>
        <v>0</v>
      </c>
      <c r="W28" s="38"/>
      <c r="X28" s="6"/>
      <c r="Y28" s="36">
        <f t="shared" si="0"/>
        <v>0</v>
      </c>
      <c r="Z28" s="5"/>
      <c r="AA28" s="6"/>
      <c r="AB28" s="39">
        <f t="shared" si="8"/>
        <v>0</v>
      </c>
      <c r="AC28" s="5"/>
      <c r="AD28" s="6"/>
      <c r="AE28" s="39">
        <f t="shared" si="9"/>
        <v>0</v>
      </c>
      <c r="AF28" s="5"/>
      <c r="AG28" s="6"/>
      <c r="AH28" s="39"/>
      <c r="AI28" s="38"/>
      <c r="AJ28" s="6"/>
      <c r="AK28" s="8"/>
    </row>
    <row r="29" spans="2:37" x14ac:dyDescent="0.25">
      <c r="B29" s="29"/>
      <c r="C29" s="6"/>
      <c r="D29" s="32"/>
      <c r="E29" s="29"/>
      <c r="F29" s="6"/>
      <c r="G29" s="36"/>
      <c r="H29" s="5"/>
      <c r="I29" s="6"/>
      <c r="J29" s="39"/>
      <c r="K29" s="38"/>
      <c r="L29" s="6"/>
      <c r="M29" s="39"/>
      <c r="N29" s="5"/>
      <c r="O29" s="6"/>
      <c r="P29" s="39"/>
      <c r="Q29" s="38"/>
      <c r="R29" s="6"/>
      <c r="S29" s="39"/>
      <c r="T29" s="5"/>
      <c r="U29" s="6"/>
      <c r="V29" s="39">
        <f t="shared" si="7"/>
        <v>0</v>
      </c>
      <c r="W29" s="38"/>
      <c r="X29" s="6"/>
      <c r="Y29" s="36">
        <f t="shared" si="0"/>
        <v>0</v>
      </c>
      <c r="Z29" s="5"/>
      <c r="AA29" s="6"/>
      <c r="AB29" s="39">
        <f t="shared" si="8"/>
        <v>0</v>
      </c>
      <c r="AC29" s="5"/>
      <c r="AD29" s="6"/>
      <c r="AE29" s="39">
        <f t="shared" si="9"/>
        <v>0</v>
      </c>
      <c r="AF29" s="5"/>
      <c r="AG29" s="6"/>
      <c r="AH29" s="8"/>
      <c r="AI29" s="38"/>
      <c r="AJ29" s="6"/>
      <c r="AK29" s="8"/>
    </row>
    <row r="30" spans="2:37" x14ac:dyDescent="0.25">
      <c r="B30" s="29"/>
      <c r="C30" s="6"/>
      <c r="D30" s="32"/>
      <c r="E30" s="29"/>
      <c r="F30" s="6"/>
      <c r="G30" s="36"/>
      <c r="H30" s="5"/>
      <c r="I30" s="6"/>
      <c r="J30" s="39"/>
      <c r="K30" s="38"/>
      <c r="L30" s="6"/>
      <c r="M30" s="39"/>
      <c r="N30" s="5"/>
      <c r="O30" s="6"/>
      <c r="P30" s="39"/>
      <c r="Q30" s="38"/>
      <c r="R30" s="6"/>
      <c r="S30" s="39"/>
      <c r="T30" s="5"/>
      <c r="U30" s="6"/>
      <c r="V30" s="39">
        <f t="shared" si="7"/>
        <v>0</v>
      </c>
      <c r="W30" s="38"/>
      <c r="X30" s="6"/>
      <c r="Y30" s="36">
        <f t="shared" si="0"/>
        <v>0</v>
      </c>
      <c r="Z30" s="5"/>
      <c r="AA30" s="6"/>
      <c r="AB30" s="39">
        <f t="shared" si="8"/>
        <v>0</v>
      </c>
      <c r="AC30" s="5"/>
      <c r="AD30" s="6"/>
      <c r="AE30" s="39">
        <f t="shared" si="9"/>
        <v>0</v>
      </c>
      <c r="AF30" s="5"/>
      <c r="AG30" s="6"/>
      <c r="AH30" s="8"/>
      <c r="AI30" s="38"/>
      <c r="AJ30" s="6"/>
      <c r="AK30" s="8"/>
    </row>
    <row r="31" spans="2:37" x14ac:dyDescent="0.25">
      <c r="B31" s="29"/>
      <c r="C31" s="6"/>
      <c r="D31" s="32"/>
      <c r="E31" s="29"/>
      <c r="F31" s="6"/>
      <c r="G31" s="36"/>
      <c r="H31" s="5"/>
      <c r="I31" s="6"/>
      <c r="J31" s="39"/>
      <c r="K31" s="38"/>
      <c r="L31" s="6"/>
      <c r="M31" s="39"/>
      <c r="N31" s="5"/>
      <c r="O31" s="6"/>
      <c r="P31" s="39"/>
      <c r="Q31" s="38"/>
      <c r="R31" s="6"/>
      <c r="S31" s="39"/>
      <c r="T31" s="5"/>
      <c r="U31" s="6"/>
      <c r="V31" s="39"/>
      <c r="W31" s="38"/>
      <c r="X31" s="6"/>
      <c r="Y31" s="36">
        <f t="shared" si="0"/>
        <v>0</v>
      </c>
      <c r="Z31" s="5"/>
      <c r="AA31" s="6"/>
      <c r="AB31" s="8"/>
      <c r="AC31" s="5"/>
      <c r="AD31" s="6"/>
      <c r="AE31" s="8"/>
      <c r="AF31" s="5"/>
      <c r="AG31" s="6"/>
      <c r="AH31" s="8"/>
      <c r="AI31" s="38"/>
      <c r="AJ31" s="6"/>
      <c r="AK31" s="8"/>
    </row>
    <row r="32" spans="2:37" x14ac:dyDescent="0.25">
      <c r="B32" s="29"/>
      <c r="C32" s="6"/>
      <c r="D32" s="32"/>
      <c r="E32" s="29"/>
      <c r="F32" s="6"/>
      <c r="G32" s="36"/>
      <c r="H32" s="5"/>
      <c r="I32" s="6"/>
      <c r="J32" s="39"/>
      <c r="K32" s="38"/>
      <c r="L32" s="6"/>
      <c r="M32" s="41"/>
      <c r="N32" s="5"/>
      <c r="O32" s="6"/>
      <c r="P32" s="39"/>
      <c r="Q32" s="38"/>
      <c r="R32" s="6"/>
      <c r="S32" s="41"/>
      <c r="T32" s="5"/>
      <c r="U32" s="6"/>
      <c r="V32" s="8"/>
      <c r="W32" s="38"/>
      <c r="X32" s="6"/>
      <c r="Y32" s="36">
        <f t="shared" si="0"/>
        <v>0</v>
      </c>
      <c r="Z32" s="5"/>
      <c r="AA32" s="6"/>
      <c r="AB32" s="8"/>
      <c r="AC32" s="5"/>
      <c r="AD32" s="6"/>
      <c r="AE32" s="8"/>
      <c r="AF32" s="5"/>
      <c r="AG32" s="6"/>
      <c r="AH32" s="8"/>
      <c r="AI32" s="38"/>
      <c r="AJ32" s="6"/>
      <c r="AK32" s="8"/>
    </row>
    <row r="33" spans="2:58" x14ac:dyDescent="0.25">
      <c r="B33" s="42"/>
      <c r="C33" s="43"/>
      <c r="D33" s="44"/>
      <c r="E33" s="42"/>
      <c r="F33" s="43"/>
      <c r="G33" s="45"/>
      <c r="H33" s="46"/>
      <c r="I33" s="43"/>
      <c r="J33" s="47"/>
      <c r="K33" s="48"/>
      <c r="L33" s="43"/>
      <c r="M33" s="49"/>
      <c r="N33" s="46"/>
      <c r="O33" s="43"/>
      <c r="P33" s="47"/>
      <c r="Q33" s="48"/>
      <c r="R33" s="43"/>
      <c r="S33" s="49"/>
      <c r="T33" s="46"/>
      <c r="U33" s="43"/>
      <c r="V33" s="50"/>
      <c r="W33" s="48"/>
      <c r="X33" s="43"/>
      <c r="Y33" s="45">
        <f t="shared" si="0"/>
        <v>0</v>
      </c>
      <c r="Z33" s="46"/>
      <c r="AA33" s="43"/>
      <c r="AB33" s="50"/>
      <c r="AC33" s="46"/>
      <c r="AD33" s="43"/>
      <c r="AE33" s="50"/>
      <c r="AF33" s="46"/>
      <c r="AG33" s="43"/>
      <c r="AH33" s="50"/>
      <c r="AI33" s="48"/>
      <c r="AJ33" s="43"/>
      <c r="AK33" s="50"/>
    </row>
    <row r="34" spans="2:58" ht="15.75" thickBot="1" x14ac:dyDescent="0.3">
      <c r="B34" s="42"/>
      <c r="C34" s="43"/>
      <c r="D34" s="44"/>
      <c r="E34" s="42"/>
      <c r="F34" s="43"/>
      <c r="G34" s="45"/>
      <c r="H34" s="46"/>
      <c r="I34" s="43"/>
      <c r="J34" s="47"/>
      <c r="K34" s="48"/>
      <c r="L34" s="43"/>
      <c r="M34" s="49"/>
      <c r="N34" s="46"/>
      <c r="O34" s="43"/>
      <c r="P34" s="47"/>
      <c r="Q34" s="48"/>
      <c r="R34" s="43"/>
      <c r="S34" s="49"/>
      <c r="T34" s="46"/>
      <c r="U34" s="43"/>
      <c r="V34" s="50"/>
      <c r="W34" s="48"/>
      <c r="X34" s="43"/>
      <c r="Y34" s="49"/>
      <c r="Z34" s="46"/>
      <c r="AA34" s="43"/>
      <c r="AB34" s="50"/>
      <c r="AC34" s="15"/>
      <c r="AD34" s="17"/>
      <c r="AE34" s="78"/>
      <c r="AF34" s="46"/>
      <c r="AG34" s="43"/>
      <c r="AH34" s="50"/>
      <c r="AI34" s="48"/>
      <c r="AJ34" s="43"/>
      <c r="AK34" s="50"/>
    </row>
    <row r="35" spans="2:58" ht="15.75" thickBot="1" x14ac:dyDescent="0.3">
      <c r="B35" s="51" t="s">
        <v>15</v>
      </c>
      <c r="C35" s="52">
        <f>SUM(C6:C34)</f>
        <v>0</v>
      </c>
      <c r="D35" s="53">
        <f>SUM(D6:D34)</f>
        <v>0</v>
      </c>
      <c r="E35" s="51"/>
      <c r="F35" s="52">
        <f>SUM(F6:F34)</f>
        <v>0</v>
      </c>
      <c r="G35" s="54">
        <f>SUM(G6:G34)</f>
        <v>0</v>
      </c>
      <c r="H35" s="55"/>
      <c r="I35" s="53">
        <f>SUM(I6:I34)</f>
        <v>0</v>
      </c>
      <c r="J35" s="56">
        <f>SUM(J6:J34)</f>
        <v>0</v>
      </c>
      <c r="K35" s="55"/>
      <c r="L35" s="53">
        <f>SUM(L6:L34)</f>
        <v>0</v>
      </c>
      <c r="M35" s="56">
        <f>SUM(M6:M34)</f>
        <v>0</v>
      </c>
      <c r="N35" s="55"/>
      <c r="O35" s="53">
        <f>SUM(O6:O34)</f>
        <v>0</v>
      </c>
      <c r="P35" s="56">
        <f>SUM(P6:P34)</f>
        <v>0</v>
      </c>
      <c r="Q35" s="55"/>
      <c r="R35" s="53">
        <f>SUM(R6:R34)</f>
        <v>0</v>
      </c>
      <c r="S35" s="56">
        <f>SUM(S6:S34)</f>
        <v>0</v>
      </c>
      <c r="T35" s="55"/>
      <c r="U35" s="53">
        <f>SUM(U6:U34)</f>
        <v>0</v>
      </c>
      <c r="V35" s="56">
        <f>SUM(V6:V34)</f>
        <v>0</v>
      </c>
      <c r="W35" s="55"/>
      <c r="X35" s="53">
        <f>SUM(X6:X34)</f>
        <v>0</v>
      </c>
      <c r="Y35" s="56">
        <f>SUM(Y6:Y34)</f>
        <v>0</v>
      </c>
      <c r="Z35" s="55"/>
      <c r="AA35" s="53">
        <f>SUM(AA6:AA34)</f>
        <v>0</v>
      </c>
      <c r="AB35" s="56">
        <f>SUM(AB6:AB34)</f>
        <v>0</v>
      </c>
      <c r="AC35" s="55"/>
      <c r="AD35" s="53">
        <f>SUM(AD6:AD34)</f>
        <v>0</v>
      </c>
      <c r="AE35" s="56">
        <f>SUM(AE6:AE34)</f>
        <v>0</v>
      </c>
      <c r="AF35" s="55"/>
      <c r="AG35" s="53">
        <f>SUM(AG6:AG34)</f>
        <v>0</v>
      </c>
      <c r="AH35" s="56">
        <f>SUM(AH6:AH34)</f>
        <v>0</v>
      </c>
      <c r="AI35" s="55"/>
      <c r="AJ35" s="53">
        <f>SUM(AJ6:AJ34)</f>
        <v>0</v>
      </c>
      <c r="AK35" s="56">
        <f>SUM(AK6:AK34)</f>
        <v>0</v>
      </c>
    </row>
    <row r="37" spans="2:58" ht="15.75" x14ac:dyDescent="0.25">
      <c r="B37" s="25" t="s">
        <v>142</v>
      </c>
      <c r="E37" s="25"/>
      <c r="M37" t="s">
        <v>35</v>
      </c>
      <c r="P37" s="25">
        <v>2227.21</v>
      </c>
    </row>
    <row r="38" spans="2:58" ht="15.75" thickBot="1" x14ac:dyDescent="0.3"/>
    <row r="39" spans="2:58" x14ac:dyDescent="0.25">
      <c r="B39" s="453" t="s">
        <v>3</v>
      </c>
      <c r="C39" s="451"/>
      <c r="D39" s="451"/>
      <c r="E39" s="453" t="s">
        <v>4</v>
      </c>
      <c r="F39" s="451"/>
      <c r="G39" s="452"/>
      <c r="H39" s="453" t="s">
        <v>5</v>
      </c>
      <c r="I39" s="451"/>
      <c r="J39" s="454"/>
      <c r="K39" s="375" t="s">
        <v>6</v>
      </c>
      <c r="L39" s="451"/>
      <c r="M39" s="452"/>
      <c r="N39" s="453" t="s">
        <v>7</v>
      </c>
      <c r="O39" s="451"/>
      <c r="P39" s="454"/>
      <c r="Q39" s="375" t="s">
        <v>8</v>
      </c>
      <c r="R39" s="451"/>
      <c r="S39" s="452"/>
      <c r="T39" s="453" t="s">
        <v>9</v>
      </c>
      <c r="U39" s="451"/>
      <c r="V39" s="454"/>
      <c r="W39" s="375" t="s">
        <v>10</v>
      </c>
      <c r="X39" s="451"/>
      <c r="Y39" s="452"/>
      <c r="Z39" s="453" t="s">
        <v>11</v>
      </c>
      <c r="AA39" s="451"/>
      <c r="AB39" s="454"/>
      <c r="AC39" s="375" t="s">
        <v>12</v>
      </c>
      <c r="AD39" s="451"/>
      <c r="AE39" s="452"/>
      <c r="AF39" s="453" t="s">
        <v>13</v>
      </c>
      <c r="AG39" s="451"/>
      <c r="AH39" s="454"/>
      <c r="AI39" s="375" t="s">
        <v>14</v>
      </c>
      <c r="AJ39" s="451"/>
      <c r="AK39" s="454"/>
      <c r="AL39" s="449"/>
      <c r="AM39" s="450"/>
      <c r="AN39" s="450"/>
      <c r="AO39" s="449"/>
      <c r="AP39" s="450"/>
      <c r="AQ39" s="450"/>
      <c r="AR39" s="449"/>
      <c r="AS39" s="450"/>
      <c r="AT39" s="450"/>
      <c r="AU39" s="449"/>
      <c r="AV39" s="450"/>
      <c r="AW39" s="450"/>
      <c r="AX39" s="449"/>
      <c r="AY39" s="450"/>
      <c r="AZ39" s="450"/>
      <c r="BA39" s="449"/>
      <c r="BB39" s="450"/>
      <c r="BC39" s="450"/>
      <c r="BD39" s="449"/>
      <c r="BE39" s="450"/>
      <c r="BF39" s="450"/>
    </row>
    <row r="40" spans="2:58" x14ac:dyDescent="0.25">
      <c r="B40" s="26" t="s">
        <v>29</v>
      </c>
      <c r="C40" s="27" t="s">
        <v>17</v>
      </c>
      <c r="D40" s="27" t="s">
        <v>18</v>
      </c>
      <c r="E40" s="26" t="s">
        <v>29</v>
      </c>
      <c r="F40" s="27" t="s">
        <v>17</v>
      </c>
      <c r="G40" s="35" t="s">
        <v>18</v>
      </c>
      <c r="H40" s="26" t="s">
        <v>29</v>
      </c>
      <c r="I40" s="27" t="s">
        <v>17</v>
      </c>
      <c r="J40" s="28" t="s">
        <v>18</v>
      </c>
      <c r="K40" s="37" t="s">
        <v>29</v>
      </c>
      <c r="L40" s="27" t="s">
        <v>17</v>
      </c>
      <c r="M40" s="35" t="s">
        <v>18</v>
      </c>
      <c r="N40" s="26" t="s">
        <v>29</v>
      </c>
      <c r="O40" s="27" t="s">
        <v>17</v>
      </c>
      <c r="P40" s="28" t="s">
        <v>18</v>
      </c>
      <c r="Q40" s="37" t="s">
        <v>29</v>
      </c>
      <c r="R40" s="27" t="s">
        <v>17</v>
      </c>
      <c r="S40" s="35" t="s">
        <v>18</v>
      </c>
      <c r="T40" s="26" t="s">
        <v>29</v>
      </c>
      <c r="U40" s="27" t="s">
        <v>17</v>
      </c>
      <c r="V40" s="28" t="s">
        <v>18</v>
      </c>
      <c r="W40" s="37" t="s">
        <v>29</v>
      </c>
      <c r="X40" s="27" t="s">
        <v>17</v>
      </c>
      <c r="Y40" s="35" t="s">
        <v>18</v>
      </c>
      <c r="Z40" s="26" t="s">
        <v>29</v>
      </c>
      <c r="AA40" s="27" t="s">
        <v>17</v>
      </c>
      <c r="AB40" s="28" t="s">
        <v>18</v>
      </c>
      <c r="AC40" s="37" t="s">
        <v>29</v>
      </c>
      <c r="AD40" s="27" t="s">
        <v>17</v>
      </c>
      <c r="AE40" s="35" t="s">
        <v>18</v>
      </c>
      <c r="AF40" s="26" t="s">
        <v>29</v>
      </c>
      <c r="AG40" s="27" t="s">
        <v>17</v>
      </c>
      <c r="AH40" s="28" t="s">
        <v>18</v>
      </c>
      <c r="AI40" s="37" t="s">
        <v>29</v>
      </c>
      <c r="AJ40" s="27" t="s">
        <v>17</v>
      </c>
      <c r="AK40" s="28" t="s">
        <v>18</v>
      </c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</row>
    <row r="41" spans="2:58" x14ac:dyDescent="0.25">
      <c r="B41" s="29" t="s">
        <v>30</v>
      </c>
      <c r="C41" s="6">
        <v>3.35</v>
      </c>
      <c r="D41" s="32">
        <f>P37*C41</f>
        <v>7461.1535000000003</v>
      </c>
      <c r="E41" s="29" t="s">
        <v>185</v>
      </c>
      <c r="F41" s="6">
        <v>3.36</v>
      </c>
      <c r="G41" s="36">
        <f>P37*F41</f>
        <v>7483.4255999999996</v>
      </c>
      <c r="H41" s="5" t="s">
        <v>188</v>
      </c>
      <c r="I41" s="6">
        <v>2.94</v>
      </c>
      <c r="J41" s="39">
        <f>I41*$P$37</f>
        <v>6547.9974000000002</v>
      </c>
      <c r="K41" s="38" t="s">
        <v>43</v>
      </c>
      <c r="L41" s="6">
        <v>4.16</v>
      </c>
      <c r="M41" s="39">
        <f>L41*$P$37</f>
        <v>9265.1936000000005</v>
      </c>
      <c r="N41" s="5" t="s">
        <v>52</v>
      </c>
      <c r="O41" s="6">
        <v>2.68</v>
      </c>
      <c r="P41" s="39">
        <f>O41*$P$37</f>
        <v>5968.9228000000003</v>
      </c>
      <c r="Q41" s="38" t="s">
        <v>175</v>
      </c>
      <c r="R41" s="6">
        <v>3.6</v>
      </c>
      <c r="S41" s="39">
        <f>R41*$P$37</f>
        <v>8017.9560000000001</v>
      </c>
      <c r="T41" s="5" t="s">
        <v>59</v>
      </c>
      <c r="U41" s="6">
        <v>3.72</v>
      </c>
      <c r="V41" s="39">
        <f>U41*$P$37</f>
        <v>8285.2212</v>
      </c>
      <c r="W41" s="38" t="s">
        <v>107</v>
      </c>
      <c r="X41" s="6">
        <v>4.3099999999999996</v>
      </c>
      <c r="Y41" s="39">
        <f>X41*$P$37</f>
        <v>9599.2750999999989</v>
      </c>
      <c r="Z41" s="5" t="s">
        <v>109</v>
      </c>
      <c r="AA41" s="6">
        <v>3.8</v>
      </c>
      <c r="AB41" s="39">
        <f>AA41*$P$37</f>
        <v>8463.3979999999992</v>
      </c>
      <c r="AC41" s="38" t="s">
        <v>79</v>
      </c>
      <c r="AD41" s="6">
        <v>4.29</v>
      </c>
      <c r="AE41" s="39">
        <f>AD41*$P$37</f>
        <v>9554.7309000000005</v>
      </c>
      <c r="AF41" s="5" t="s">
        <v>87</v>
      </c>
      <c r="AG41" s="6">
        <v>3.47</v>
      </c>
      <c r="AH41" s="39">
        <f>AG41*$P$37</f>
        <v>7728.4187000000002</v>
      </c>
      <c r="AI41" s="38" t="s">
        <v>272</v>
      </c>
      <c r="AJ41" s="6">
        <v>3.56</v>
      </c>
      <c r="AK41" s="39">
        <f>AJ41*J41</f>
        <v>23310.870744</v>
      </c>
    </row>
    <row r="42" spans="2:58" x14ac:dyDescent="0.25">
      <c r="B42" s="29" t="s">
        <v>184</v>
      </c>
      <c r="C42" s="6">
        <v>4.05</v>
      </c>
      <c r="D42" s="32">
        <f>P37*C42</f>
        <v>9020.200499999999</v>
      </c>
      <c r="E42" s="29" t="s">
        <v>34</v>
      </c>
      <c r="F42" s="6">
        <v>4.37</v>
      </c>
      <c r="G42" s="36">
        <f>P37*F42</f>
        <v>9732.9076999999997</v>
      </c>
      <c r="H42" s="5" t="s">
        <v>39</v>
      </c>
      <c r="I42" s="6">
        <v>3.54</v>
      </c>
      <c r="J42" s="39">
        <f t="shared" ref="J42:J48" si="12">I42*$P$37</f>
        <v>7884.3234000000002</v>
      </c>
      <c r="K42" s="38" t="s">
        <v>44</v>
      </c>
      <c r="L42" s="6">
        <v>5.08</v>
      </c>
      <c r="M42" s="39">
        <f t="shared" ref="M42:M48" si="13">L42*$P$37</f>
        <v>11314.2268</v>
      </c>
      <c r="N42" s="5"/>
      <c r="O42" s="6"/>
      <c r="P42" s="39">
        <f t="shared" ref="P42:P48" si="14">O42*$P$37</f>
        <v>0</v>
      </c>
      <c r="Q42" s="38" t="s">
        <v>193</v>
      </c>
      <c r="R42" s="6">
        <v>4.2699999999999996</v>
      </c>
      <c r="S42" s="39">
        <f t="shared" ref="S42:S48" si="15">R42*$P$37</f>
        <v>9510.1866999999984</v>
      </c>
      <c r="T42" s="40" t="s">
        <v>60</v>
      </c>
      <c r="U42" s="6">
        <v>3.5</v>
      </c>
      <c r="V42" s="39">
        <f t="shared" ref="V42:V48" si="16">U42*$P$37</f>
        <v>7795.2350000000006</v>
      </c>
      <c r="W42" s="38" t="s">
        <v>68</v>
      </c>
      <c r="X42" s="6">
        <v>3.05</v>
      </c>
      <c r="Y42" s="39">
        <f t="shared" ref="Y42:Y48" si="17">X42*$P$37</f>
        <v>6792.9904999999999</v>
      </c>
      <c r="Z42" s="5" t="s">
        <v>180</v>
      </c>
      <c r="AA42" s="6">
        <v>3.54</v>
      </c>
      <c r="AB42" s="39">
        <f t="shared" ref="AB42:AB48" si="18">AA42*$P$37</f>
        <v>7884.3234000000002</v>
      </c>
      <c r="AC42" s="38" t="s">
        <v>199</v>
      </c>
      <c r="AD42" s="6">
        <v>3.94</v>
      </c>
      <c r="AE42" s="39">
        <f t="shared" ref="AE42:AE48" si="19">AD42*$P$37</f>
        <v>8775.2073999999993</v>
      </c>
      <c r="AF42" s="5" t="s">
        <v>181</v>
      </c>
      <c r="AG42" s="6">
        <v>4.8499999999999996</v>
      </c>
      <c r="AH42" s="39">
        <f t="shared" ref="AH42:AH48" si="20">AG42*$P$37</f>
        <v>10801.968499999999</v>
      </c>
      <c r="AI42" s="38" t="s">
        <v>113</v>
      </c>
      <c r="AJ42" s="6">
        <v>3.59</v>
      </c>
      <c r="AK42" s="39">
        <f t="shared" ref="AK42:AK48" si="21">AJ42*$P$37</f>
        <v>7995.6839</v>
      </c>
    </row>
    <row r="43" spans="2:58" x14ac:dyDescent="0.25">
      <c r="B43" s="29" t="s">
        <v>37</v>
      </c>
      <c r="C43" s="6">
        <v>3</v>
      </c>
      <c r="D43" s="32">
        <f>P37*C43</f>
        <v>6681.63</v>
      </c>
      <c r="E43" s="29" t="s">
        <v>186</v>
      </c>
      <c r="F43" s="6">
        <v>3.66</v>
      </c>
      <c r="G43" s="36">
        <f>P37*F43</f>
        <v>8151.5886</v>
      </c>
      <c r="H43" s="5" t="s">
        <v>143</v>
      </c>
      <c r="I43" s="6">
        <v>3.36</v>
      </c>
      <c r="J43" s="39">
        <f t="shared" si="12"/>
        <v>7483.4255999999996</v>
      </c>
      <c r="K43" s="38" t="s">
        <v>103</v>
      </c>
      <c r="L43" s="6">
        <v>2.89</v>
      </c>
      <c r="M43" s="39">
        <f t="shared" si="13"/>
        <v>6436.6369000000004</v>
      </c>
      <c r="N43" s="5"/>
      <c r="O43" s="6"/>
      <c r="P43" s="39">
        <f t="shared" si="14"/>
        <v>0</v>
      </c>
      <c r="Q43" s="38" t="s">
        <v>176</v>
      </c>
      <c r="R43" s="6">
        <v>3.14</v>
      </c>
      <c r="S43" s="39">
        <f t="shared" si="15"/>
        <v>6993.4394000000002</v>
      </c>
      <c r="T43" s="5"/>
      <c r="U43" s="6"/>
      <c r="V43" s="39">
        <f t="shared" si="16"/>
        <v>0</v>
      </c>
      <c r="W43" s="38" t="s">
        <v>108</v>
      </c>
      <c r="X43" s="6">
        <v>2.74</v>
      </c>
      <c r="Y43" s="39">
        <f t="shared" si="17"/>
        <v>6102.5554000000002</v>
      </c>
      <c r="Z43" s="5" t="s">
        <v>197</v>
      </c>
      <c r="AA43" s="6">
        <v>4.01</v>
      </c>
      <c r="AB43" s="39">
        <f t="shared" si="18"/>
        <v>8931.1121000000003</v>
      </c>
      <c r="AC43" s="38" t="s">
        <v>81</v>
      </c>
      <c r="AD43" s="6">
        <v>3.16</v>
      </c>
      <c r="AE43" s="39">
        <f t="shared" si="19"/>
        <v>7037.9836000000005</v>
      </c>
      <c r="AF43" s="5"/>
      <c r="AG43" s="6"/>
      <c r="AH43" s="39">
        <f t="shared" si="20"/>
        <v>0</v>
      </c>
      <c r="AI43" s="38" t="s">
        <v>222</v>
      </c>
      <c r="AJ43" s="6">
        <v>3.24</v>
      </c>
      <c r="AK43" s="39">
        <f t="shared" si="21"/>
        <v>7216.1604000000007</v>
      </c>
    </row>
    <row r="44" spans="2:58" x14ac:dyDescent="0.25">
      <c r="B44" s="29" t="s">
        <v>31</v>
      </c>
      <c r="C44" s="6">
        <v>3</v>
      </c>
      <c r="D44" s="32">
        <f>P37*C44</f>
        <v>6681.63</v>
      </c>
      <c r="E44" s="29" t="s">
        <v>38</v>
      </c>
      <c r="F44" s="6">
        <v>3.27</v>
      </c>
      <c r="G44" s="36">
        <f>P37*F44</f>
        <v>7282.9767000000002</v>
      </c>
      <c r="H44" s="5" t="s">
        <v>40</v>
      </c>
      <c r="I44" s="6">
        <v>3.62</v>
      </c>
      <c r="J44" s="39">
        <f t="shared" si="12"/>
        <v>8062.5002000000004</v>
      </c>
      <c r="K44" s="38" t="s">
        <v>45</v>
      </c>
      <c r="L44" s="6">
        <v>3.18</v>
      </c>
      <c r="M44" s="39">
        <f t="shared" si="13"/>
        <v>7082.5278000000008</v>
      </c>
      <c r="N44" s="5"/>
      <c r="O44" s="6"/>
      <c r="P44" s="39">
        <f t="shared" si="14"/>
        <v>0</v>
      </c>
      <c r="Q44" s="38" t="s">
        <v>57</v>
      </c>
      <c r="R44" s="6">
        <v>3.84</v>
      </c>
      <c r="S44" s="39">
        <f t="shared" si="15"/>
        <v>8552.4863999999998</v>
      </c>
      <c r="T44" s="5"/>
      <c r="U44" s="6"/>
      <c r="V44" s="39">
        <f t="shared" si="16"/>
        <v>0</v>
      </c>
      <c r="W44" s="38" t="s">
        <v>69</v>
      </c>
      <c r="X44" s="6">
        <v>3.75</v>
      </c>
      <c r="Y44" s="39">
        <f t="shared" si="17"/>
        <v>8352.0375000000004</v>
      </c>
      <c r="Z44" s="5" t="s">
        <v>198</v>
      </c>
      <c r="AA44" s="6">
        <v>4.42</v>
      </c>
      <c r="AB44" s="39">
        <f t="shared" si="18"/>
        <v>9844.2682000000004</v>
      </c>
      <c r="AC44" s="38" t="s">
        <v>82</v>
      </c>
      <c r="AD44" s="6">
        <v>4.5</v>
      </c>
      <c r="AE44" s="39">
        <f t="shared" si="19"/>
        <v>10022.445</v>
      </c>
      <c r="AF44" s="5"/>
      <c r="AG44" s="6"/>
      <c r="AH44" s="39">
        <f t="shared" si="20"/>
        <v>0</v>
      </c>
      <c r="AI44" s="38"/>
      <c r="AJ44" s="6"/>
      <c r="AK44" s="39">
        <f t="shared" si="21"/>
        <v>0</v>
      </c>
    </row>
    <row r="45" spans="2:58" x14ac:dyDescent="0.25">
      <c r="B45" s="29"/>
      <c r="C45" s="6"/>
      <c r="D45" s="32">
        <f>P37*C45</f>
        <v>0</v>
      </c>
      <c r="E45" s="29"/>
      <c r="F45" s="6"/>
      <c r="G45" s="36">
        <f>P37*F45</f>
        <v>0</v>
      </c>
      <c r="H45" s="5" t="s">
        <v>144</v>
      </c>
      <c r="I45" s="6">
        <v>3.79</v>
      </c>
      <c r="J45" s="39">
        <f t="shared" si="12"/>
        <v>8441.1259000000009</v>
      </c>
      <c r="K45" s="38" t="s">
        <v>46</v>
      </c>
      <c r="L45" s="6">
        <v>3.28</v>
      </c>
      <c r="M45" s="39">
        <f t="shared" si="13"/>
        <v>7305.2487999999994</v>
      </c>
      <c r="N45" s="5"/>
      <c r="O45" s="6"/>
      <c r="P45" s="39">
        <f t="shared" si="14"/>
        <v>0</v>
      </c>
      <c r="Q45" s="38" t="s">
        <v>261</v>
      </c>
      <c r="R45" s="6">
        <v>3.76</v>
      </c>
      <c r="S45" s="39">
        <f t="shared" si="15"/>
        <v>8374.3096000000005</v>
      </c>
      <c r="T45" s="5"/>
      <c r="U45" s="6"/>
      <c r="V45" s="39">
        <f t="shared" si="16"/>
        <v>0</v>
      </c>
      <c r="W45" s="38"/>
      <c r="X45" s="6"/>
      <c r="Y45" s="39">
        <f t="shared" si="17"/>
        <v>0</v>
      </c>
      <c r="Z45" s="5" t="s">
        <v>77</v>
      </c>
      <c r="AA45" s="6">
        <v>5.05</v>
      </c>
      <c r="AB45" s="39">
        <f t="shared" si="18"/>
        <v>11247.4105</v>
      </c>
      <c r="AC45" s="38" t="s">
        <v>83</v>
      </c>
      <c r="AD45" s="6">
        <v>3.44</v>
      </c>
      <c r="AE45" s="39">
        <f t="shared" si="19"/>
        <v>7661.6023999999998</v>
      </c>
      <c r="AF45" s="5"/>
      <c r="AG45" s="6"/>
      <c r="AH45" s="39">
        <f t="shared" si="20"/>
        <v>0</v>
      </c>
      <c r="AI45" s="38"/>
      <c r="AJ45" s="6"/>
      <c r="AK45" s="39">
        <f t="shared" si="21"/>
        <v>0</v>
      </c>
    </row>
    <row r="46" spans="2:58" x14ac:dyDescent="0.25">
      <c r="B46" s="29"/>
      <c r="C46" s="6"/>
      <c r="D46" s="32">
        <f>P37*C46</f>
        <v>0</v>
      </c>
      <c r="E46" s="29"/>
      <c r="F46" s="32"/>
      <c r="G46" s="36">
        <f>P37*F46</f>
        <v>0</v>
      </c>
      <c r="H46" s="5" t="s">
        <v>42</v>
      </c>
      <c r="I46" s="6">
        <v>3.33</v>
      </c>
      <c r="J46" s="39">
        <f t="shared" si="12"/>
        <v>7416.6093000000001</v>
      </c>
      <c r="K46" s="38" t="s">
        <v>191</v>
      </c>
      <c r="L46" s="6">
        <v>3.63</v>
      </c>
      <c r="M46" s="39">
        <f t="shared" si="13"/>
        <v>8084.7722999999996</v>
      </c>
      <c r="N46" s="5"/>
      <c r="O46" s="6"/>
      <c r="P46" s="39">
        <f t="shared" si="14"/>
        <v>0</v>
      </c>
      <c r="Q46" s="38"/>
      <c r="R46" s="6"/>
      <c r="S46" s="39">
        <f t="shared" si="15"/>
        <v>0</v>
      </c>
      <c r="T46" s="5"/>
      <c r="U46" s="6"/>
      <c r="V46" s="39">
        <f t="shared" si="16"/>
        <v>0</v>
      </c>
      <c r="W46" s="38"/>
      <c r="X46" s="6"/>
      <c r="Y46" s="39">
        <f t="shared" si="17"/>
        <v>0</v>
      </c>
      <c r="Z46" s="5"/>
      <c r="AA46" s="6"/>
      <c r="AB46" s="39">
        <f t="shared" si="18"/>
        <v>0</v>
      </c>
      <c r="AC46" s="38"/>
      <c r="AD46" s="6"/>
      <c r="AE46" s="39">
        <f t="shared" si="19"/>
        <v>0</v>
      </c>
      <c r="AF46" s="5"/>
      <c r="AG46" s="6"/>
      <c r="AH46" s="39">
        <f t="shared" si="20"/>
        <v>0</v>
      </c>
      <c r="AI46" s="38"/>
      <c r="AJ46" s="6"/>
      <c r="AK46" s="39">
        <f t="shared" si="21"/>
        <v>0</v>
      </c>
    </row>
    <row r="47" spans="2:58" x14ac:dyDescent="0.25">
      <c r="B47" s="42"/>
      <c r="C47" s="43"/>
      <c r="D47" s="44">
        <f>P37*C47</f>
        <v>0</v>
      </c>
      <c r="E47" s="42"/>
      <c r="F47" s="43"/>
      <c r="G47" s="36">
        <f>P37*F47</f>
        <v>0</v>
      </c>
      <c r="H47" s="46" t="s">
        <v>187</v>
      </c>
      <c r="I47" s="43">
        <v>3.17</v>
      </c>
      <c r="J47" s="39">
        <f t="shared" si="12"/>
        <v>7060.2556999999997</v>
      </c>
      <c r="K47" s="48"/>
      <c r="L47" s="43"/>
      <c r="M47" s="39">
        <f t="shared" si="13"/>
        <v>0</v>
      </c>
      <c r="N47" s="46"/>
      <c r="O47" s="43"/>
      <c r="P47" s="39">
        <f t="shared" si="14"/>
        <v>0</v>
      </c>
      <c r="Q47" s="48"/>
      <c r="R47" s="43"/>
      <c r="S47" s="39">
        <f t="shared" si="15"/>
        <v>0</v>
      </c>
      <c r="T47" s="46"/>
      <c r="U47" s="43"/>
      <c r="V47" s="39">
        <f t="shared" si="16"/>
        <v>0</v>
      </c>
      <c r="W47" s="48"/>
      <c r="X47" s="43"/>
      <c r="Y47" s="39">
        <f t="shared" si="17"/>
        <v>0</v>
      </c>
      <c r="Z47" s="46"/>
      <c r="AA47" s="43"/>
      <c r="AB47" s="39">
        <f t="shared" si="18"/>
        <v>0</v>
      </c>
      <c r="AC47" s="48"/>
      <c r="AD47" s="43"/>
      <c r="AE47" s="39">
        <f t="shared" si="19"/>
        <v>0</v>
      </c>
      <c r="AF47" s="46"/>
      <c r="AG47" s="43"/>
      <c r="AH47" s="39">
        <f t="shared" si="20"/>
        <v>0</v>
      </c>
      <c r="AI47" s="48"/>
      <c r="AJ47" s="43"/>
      <c r="AK47" s="39">
        <f t="shared" si="21"/>
        <v>0</v>
      </c>
    </row>
    <row r="48" spans="2:58" ht="15.75" thickBot="1" x14ac:dyDescent="0.3">
      <c r="B48" s="42"/>
      <c r="C48" s="43"/>
      <c r="D48" s="44">
        <f>P37*C48</f>
        <v>0</v>
      </c>
      <c r="E48" s="42"/>
      <c r="F48" s="43"/>
      <c r="G48" s="36">
        <f>P37*F48</f>
        <v>0</v>
      </c>
      <c r="H48" s="46"/>
      <c r="I48" s="43"/>
      <c r="J48" s="39">
        <f t="shared" si="12"/>
        <v>0</v>
      </c>
      <c r="K48" s="48"/>
      <c r="L48" s="43"/>
      <c r="M48" s="39">
        <f t="shared" si="13"/>
        <v>0</v>
      </c>
      <c r="N48" s="46"/>
      <c r="O48" s="43"/>
      <c r="P48" s="39">
        <f t="shared" si="14"/>
        <v>0</v>
      </c>
      <c r="Q48" s="48"/>
      <c r="R48" s="43"/>
      <c r="S48" s="39">
        <f t="shared" si="15"/>
        <v>0</v>
      </c>
      <c r="T48" s="46"/>
      <c r="U48" s="43"/>
      <c r="V48" s="39">
        <f t="shared" si="16"/>
        <v>0</v>
      </c>
      <c r="W48" s="48"/>
      <c r="X48" s="43"/>
      <c r="Y48" s="39">
        <f t="shared" si="17"/>
        <v>0</v>
      </c>
      <c r="Z48" s="46"/>
      <c r="AA48" s="43"/>
      <c r="AB48" s="39">
        <f t="shared" si="18"/>
        <v>0</v>
      </c>
      <c r="AC48" s="48"/>
      <c r="AD48" s="43"/>
      <c r="AE48" s="39">
        <f t="shared" si="19"/>
        <v>0</v>
      </c>
      <c r="AF48" s="46"/>
      <c r="AG48" s="43"/>
      <c r="AH48" s="39">
        <f t="shared" si="20"/>
        <v>0</v>
      </c>
      <c r="AI48" s="48"/>
      <c r="AJ48" s="43"/>
      <c r="AK48" s="39">
        <f t="shared" si="21"/>
        <v>0</v>
      </c>
    </row>
    <row r="49" spans="2:58" ht="15.75" thickBot="1" x14ac:dyDescent="0.3">
      <c r="B49" s="51" t="s">
        <v>15</v>
      </c>
      <c r="C49" s="52">
        <f>SUM(C41:C44)</f>
        <v>13.4</v>
      </c>
      <c r="D49" s="53">
        <f>SUM(D41:D48)</f>
        <v>29844.614000000001</v>
      </c>
      <c r="E49" s="51"/>
      <c r="F49" s="52">
        <f>SUM(F41:F47)</f>
        <v>14.66</v>
      </c>
      <c r="G49" s="54">
        <f>SUM(G41:G48)</f>
        <v>32650.898599999997</v>
      </c>
      <c r="H49" s="55"/>
      <c r="I49" s="53">
        <f t="shared" ref="I49:J49" si="22">SUM(I41:I48)</f>
        <v>23.75</v>
      </c>
      <c r="J49" s="56">
        <f t="shared" si="22"/>
        <v>52896.237499999996</v>
      </c>
      <c r="K49" s="55"/>
      <c r="L49" s="53">
        <f t="shared" ref="L49:M49" si="23">SUM(L41:L48)</f>
        <v>22.22</v>
      </c>
      <c r="M49" s="56">
        <f t="shared" si="23"/>
        <v>49488.606200000002</v>
      </c>
      <c r="N49" s="55"/>
      <c r="O49" s="53">
        <f t="shared" ref="O49:P49" si="24">SUM(O41:O48)</f>
        <v>2.68</v>
      </c>
      <c r="P49" s="56">
        <f t="shared" si="24"/>
        <v>5968.9228000000003</v>
      </c>
      <c r="Q49" s="55"/>
      <c r="R49" s="53">
        <f t="shared" ref="R49:S49" si="25">SUM(R41:R48)</f>
        <v>18.61</v>
      </c>
      <c r="S49" s="56">
        <f t="shared" si="25"/>
        <v>41448.378099999994</v>
      </c>
      <c r="T49" s="55"/>
      <c r="U49" s="53">
        <f t="shared" ref="U49:V49" si="26">SUM(U41:U48)</f>
        <v>7.2200000000000006</v>
      </c>
      <c r="V49" s="56">
        <f t="shared" si="26"/>
        <v>16080.456200000001</v>
      </c>
      <c r="W49" s="55"/>
      <c r="X49" s="53">
        <f t="shared" ref="X49:Y49" si="27">SUM(X41:X48)</f>
        <v>13.85</v>
      </c>
      <c r="Y49" s="56">
        <f t="shared" si="27"/>
        <v>30846.858500000002</v>
      </c>
      <c r="Z49" s="55"/>
      <c r="AA49" s="53">
        <f t="shared" ref="AA49:AB49" si="28">SUM(AA41:AA48)</f>
        <v>20.82</v>
      </c>
      <c r="AB49" s="56">
        <f t="shared" si="28"/>
        <v>46370.512199999997</v>
      </c>
      <c r="AC49" s="55"/>
      <c r="AD49" s="53">
        <f t="shared" ref="AD49:AE49" si="29">SUM(AD41:AD48)</f>
        <v>19.330000000000002</v>
      </c>
      <c r="AE49" s="56">
        <f t="shared" si="29"/>
        <v>43051.969299999997</v>
      </c>
      <c r="AF49" s="55"/>
      <c r="AG49" s="53">
        <f t="shared" ref="AG49:AH49" si="30">SUM(AG41:AG48)</f>
        <v>8.32</v>
      </c>
      <c r="AH49" s="56">
        <f t="shared" si="30"/>
        <v>18530.387199999997</v>
      </c>
      <c r="AI49" s="55"/>
      <c r="AJ49" s="53">
        <f t="shared" ref="AJ49:AK49" si="31">SUM(AJ41:AJ48)</f>
        <v>10.39</v>
      </c>
      <c r="AK49" s="56">
        <f t="shared" si="31"/>
        <v>38522.715043999997</v>
      </c>
    </row>
    <row r="50" spans="2:58" x14ac:dyDescent="0.25">
      <c r="D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</row>
    <row r="51" spans="2:58" ht="15.75" x14ac:dyDescent="0.25">
      <c r="B51" s="25" t="s">
        <v>102</v>
      </c>
      <c r="E51" s="25"/>
      <c r="M51" t="s">
        <v>35</v>
      </c>
      <c r="P51" s="25">
        <v>2569.64</v>
      </c>
    </row>
    <row r="52" spans="2:58" ht="15.75" thickBot="1" x14ac:dyDescent="0.3"/>
    <row r="53" spans="2:58" x14ac:dyDescent="0.25">
      <c r="B53" s="453" t="s">
        <v>3</v>
      </c>
      <c r="C53" s="451"/>
      <c r="D53" s="451"/>
      <c r="E53" s="453" t="s">
        <v>4</v>
      </c>
      <c r="F53" s="451"/>
      <c r="G53" s="452"/>
      <c r="H53" s="453" t="s">
        <v>5</v>
      </c>
      <c r="I53" s="451"/>
      <c r="J53" s="454"/>
      <c r="K53" s="375" t="s">
        <v>6</v>
      </c>
      <c r="L53" s="451"/>
      <c r="M53" s="452"/>
      <c r="N53" s="453" t="s">
        <v>7</v>
      </c>
      <c r="O53" s="451"/>
      <c r="P53" s="454"/>
      <c r="Q53" s="375" t="s">
        <v>8</v>
      </c>
      <c r="R53" s="451"/>
      <c r="S53" s="452"/>
      <c r="T53" s="453" t="s">
        <v>9</v>
      </c>
      <c r="U53" s="451"/>
      <c r="V53" s="454"/>
      <c r="W53" s="375" t="s">
        <v>10</v>
      </c>
      <c r="X53" s="451"/>
      <c r="Y53" s="452"/>
      <c r="Z53" s="453" t="s">
        <v>11</v>
      </c>
      <c r="AA53" s="451"/>
      <c r="AB53" s="454"/>
      <c r="AC53" s="375" t="s">
        <v>12</v>
      </c>
      <c r="AD53" s="451"/>
      <c r="AE53" s="452"/>
      <c r="AF53" s="453" t="s">
        <v>13</v>
      </c>
      <c r="AG53" s="451"/>
      <c r="AH53" s="452"/>
      <c r="AI53" s="453" t="s">
        <v>14</v>
      </c>
      <c r="AJ53" s="451"/>
      <c r="AK53" s="454"/>
      <c r="AL53" s="449"/>
      <c r="AM53" s="450"/>
      <c r="AN53" s="450"/>
      <c r="AO53" s="449"/>
      <c r="AP53" s="450"/>
      <c r="AQ53" s="450"/>
      <c r="AR53" s="449"/>
      <c r="AS53" s="450"/>
      <c r="AT53" s="450"/>
      <c r="AU53" s="449"/>
      <c r="AV53" s="450"/>
      <c r="AW53" s="450"/>
      <c r="AX53" s="449"/>
      <c r="AY53" s="450"/>
      <c r="AZ53" s="450"/>
      <c r="BA53" s="449"/>
      <c r="BB53" s="450"/>
      <c r="BC53" s="450"/>
      <c r="BD53" s="449"/>
      <c r="BE53" s="450"/>
      <c r="BF53" s="450"/>
    </row>
    <row r="54" spans="2:58" x14ac:dyDescent="0.25">
      <c r="B54" s="26" t="s">
        <v>29</v>
      </c>
      <c r="C54" s="27" t="s">
        <v>17</v>
      </c>
      <c r="D54" s="27" t="s">
        <v>18</v>
      </c>
      <c r="E54" s="26" t="s">
        <v>29</v>
      </c>
      <c r="F54" s="27" t="s">
        <v>17</v>
      </c>
      <c r="G54" s="35" t="s">
        <v>18</v>
      </c>
      <c r="H54" s="26" t="s">
        <v>29</v>
      </c>
      <c r="I54" s="27" t="s">
        <v>17</v>
      </c>
      <c r="J54" s="28" t="s">
        <v>18</v>
      </c>
      <c r="K54" s="37" t="s">
        <v>29</v>
      </c>
      <c r="L54" s="27" t="s">
        <v>17</v>
      </c>
      <c r="M54" s="35" t="s">
        <v>18</v>
      </c>
      <c r="N54" s="26" t="s">
        <v>29</v>
      </c>
      <c r="O54" s="27" t="s">
        <v>17</v>
      </c>
      <c r="P54" s="28" t="s">
        <v>18</v>
      </c>
      <c r="Q54" s="37" t="s">
        <v>29</v>
      </c>
      <c r="R54" s="27" t="s">
        <v>17</v>
      </c>
      <c r="S54" s="35" t="s">
        <v>18</v>
      </c>
      <c r="T54" s="26" t="s">
        <v>29</v>
      </c>
      <c r="U54" s="27" t="s">
        <v>17</v>
      </c>
      <c r="V54" s="28" t="s">
        <v>18</v>
      </c>
      <c r="W54" s="37" t="s">
        <v>29</v>
      </c>
      <c r="X54" s="27" t="s">
        <v>17</v>
      </c>
      <c r="Y54" s="35" t="s">
        <v>18</v>
      </c>
      <c r="Z54" s="26" t="s">
        <v>29</v>
      </c>
      <c r="AA54" s="27" t="s">
        <v>17</v>
      </c>
      <c r="AB54" s="28" t="s">
        <v>18</v>
      </c>
      <c r="AC54" s="37" t="s">
        <v>29</v>
      </c>
      <c r="AD54" s="27" t="s">
        <v>17</v>
      </c>
      <c r="AE54" s="35" t="s">
        <v>18</v>
      </c>
      <c r="AF54" s="26" t="s">
        <v>29</v>
      </c>
      <c r="AG54" s="27" t="s">
        <v>17</v>
      </c>
      <c r="AH54" s="35" t="s">
        <v>18</v>
      </c>
      <c r="AI54" s="26" t="s">
        <v>29</v>
      </c>
      <c r="AJ54" s="27" t="s">
        <v>17</v>
      </c>
      <c r="AK54" s="28" t="s">
        <v>18</v>
      </c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</row>
    <row r="55" spans="2:58" x14ac:dyDescent="0.25">
      <c r="B55" s="29" t="s">
        <v>36</v>
      </c>
      <c r="C55" s="6">
        <v>2.69</v>
      </c>
      <c r="D55" s="32">
        <f>P51*C55</f>
        <v>6912.3315999999995</v>
      </c>
      <c r="E55" s="30" t="s">
        <v>33</v>
      </c>
      <c r="F55" s="6">
        <v>2.2000000000000002</v>
      </c>
      <c r="G55" s="36">
        <f>P51*F55</f>
        <v>5653.2080000000005</v>
      </c>
      <c r="H55" s="40" t="s">
        <v>41</v>
      </c>
      <c r="I55" s="6">
        <v>2.67</v>
      </c>
      <c r="J55" s="39">
        <f>P51*I55</f>
        <v>6860.9387999999999</v>
      </c>
      <c r="K55" s="38" t="s">
        <v>189</v>
      </c>
      <c r="L55" s="6">
        <v>4.09</v>
      </c>
      <c r="M55" s="39">
        <f>P51*L55</f>
        <v>10509.827599999999</v>
      </c>
      <c r="N55" s="5" t="s">
        <v>51</v>
      </c>
      <c r="O55" s="6">
        <v>7.18</v>
      </c>
      <c r="P55" s="39">
        <f>P51*O55</f>
        <v>18450.015199999998</v>
      </c>
      <c r="Q55" s="38" t="s">
        <v>55</v>
      </c>
      <c r="R55" s="6">
        <v>7.87</v>
      </c>
      <c r="S55" s="39">
        <f>P51*R55</f>
        <v>20223.066800000001</v>
      </c>
      <c r="T55" s="5" t="s">
        <v>177</v>
      </c>
      <c r="U55" s="6">
        <v>4.93</v>
      </c>
      <c r="V55" s="39">
        <f>P51*U55</f>
        <v>12668.325199999999</v>
      </c>
      <c r="W55" s="38" t="s">
        <v>67</v>
      </c>
      <c r="X55" s="6">
        <v>6.4</v>
      </c>
      <c r="Y55" s="39">
        <f>P51*X55</f>
        <v>16445.696</v>
      </c>
      <c r="Z55" s="5" t="s">
        <v>73</v>
      </c>
      <c r="AA55" s="6">
        <v>6.55</v>
      </c>
      <c r="AB55" s="39">
        <f>P51*AA55</f>
        <v>16831.142</v>
      </c>
      <c r="AC55" s="38" t="s">
        <v>78</v>
      </c>
      <c r="AD55" s="6">
        <v>3.61</v>
      </c>
      <c r="AE55" s="39">
        <f>P51*AD55</f>
        <v>9276.4003999999986</v>
      </c>
      <c r="AF55" s="5" t="s">
        <v>182</v>
      </c>
      <c r="AG55" s="6">
        <v>3.13</v>
      </c>
      <c r="AH55" s="36">
        <f>AG55*$P$51</f>
        <v>8042.9731999999995</v>
      </c>
      <c r="AI55" s="5" t="s">
        <v>221</v>
      </c>
      <c r="AJ55" s="6">
        <v>2.98</v>
      </c>
      <c r="AK55" s="8">
        <f>AJ55*$P$51</f>
        <v>7657.5271999999995</v>
      </c>
    </row>
    <row r="56" spans="2:58" x14ac:dyDescent="0.25">
      <c r="B56" s="29"/>
      <c r="C56" s="6"/>
      <c r="D56" s="32">
        <f>P51*C56</f>
        <v>0</v>
      </c>
      <c r="E56" s="29"/>
      <c r="F56" s="6"/>
      <c r="G56" s="36">
        <f>P51*F56</f>
        <v>0</v>
      </c>
      <c r="H56" s="5" t="s">
        <v>42</v>
      </c>
      <c r="I56" s="6">
        <v>3.58</v>
      </c>
      <c r="J56" s="39">
        <f>P51*I56</f>
        <v>9199.3112000000001</v>
      </c>
      <c r="K56" s="38" t="s">
        <v>104</v>
      </c>
      <c r="L56" s="6">
        <v>2.8</v>
      </c>
      <c r="M56" s="39">
        <f>P51*L56</f>
        <v>7194.9919999999993</v>
      </c>
      <c r="N56" s="40" t="s">
        <v>166</v>
      </c>
      <c r="O56" s="6">
        <v>6.69</v>
      </c>
      <c r="P56" s="39">
        <f>P51*O56</f>
        <v>17190.891599999999</v>
      </c>
      <c r="Q56" s="58" t="s">
        <v>195</v>
      </c>
      <c r="R56" s="6">
        <v>7.01</v>
      </c>
      <c r="S56" s="39">
        <f>P51*R56</f>
        <v>18013.1764</v>
      </c>
      <c r="T56" s="40" t="s">
        <v>58</v>
      </c>
      <c r="U56" s="6">
        <v>6.74</v>
      </c>
      <c r="V56" s="39">
        <f>P51*U56</f>
        <v>17319.373599999999</v>
      </c>
      <c r="W56" s="38" t="s">
        <v>68</v>
      </c>
      <c r="X56" s="6">
        <v>5.78</v>
      </c>
      <c r="Y56" s="39">
        <f>P51*X56</f>
        <v>14852.519200000001</v>
      </c>
      <c r="Z56" s="5" t="s">
        <v>74</v>
      </c>
      <c r="AA56" s="6">
        <v>6.59</v>
      </c>
      <c r="AB56" s="39">
        <f>P51*AA56</f>
        <v>16933.927599999999</v>
      </c>
      <c r="AC56" s="58" t="s">
        <v>110</v>
      </c>
      <c r="AD56" s="6">
        <v>3.38</v>
      </c>
      <c r="AE56" s="39">
        <f>AD56*$P$51</f>
        <v>8685.3831999999984</v>
      </c>
      <c r="AF56" s="5" t="s">
        <v>86</v>
      </c>
      <c r="AG56" s="6">
        <v>2.92</v>
      </c>
      <c r="AH56" s="36">
        <f>AG56*$P$51</f>
        <v>7503.3487999999998</v>
      </c>
      <c r="AI56" s="5" t="s">
        <v>265</v>
      </c>
      <c r="AJ56" s="6">
        <v>3.04</v>
      </c>
      <c r="AK56" s="8">
        <f t="shared" ref="AK56:AK62" si="32">AJ56*$P$51</f>
        <v>7811.7055999999993</v>
      </c>
    </row>
    <row r="57" spans="2:58" x14ac:dyDescent="0.25">
      <c r="B57" s="29"/>
      <c r="C57" s="6"/>
      <c r="D57" s="32"/>
      <c r="E57" s="29"/>
      <c r="F57" s="6"/>
      <c r="G57" s="36">
        <f>P51*F57</f>
        <v>0</v>
      </c>
      <c r="H57" s="5"/>
      <c r="I57" s="6"/>
      <c r="J57" s="39">
        <f>P51*I57</f>
        <v>0</v>
      </c>
      <c r="K57" s="38" t="s">
        <v>190</v>
      </c>
      <c r="L57" s="6">
        <v>3.58</v>
      </c>
      <c r="M57" s="39">
        <f>P51*L57</f>
        <v>9199.3112000000001</v>
      </c>
      <c r="N57" s="5" t="s">
        <v>52</v>
      </c>
      <c r="O57" s="6">
        <v>3.1</v>
      </c>
      <c r="P57" s="39">
        <f>P51*O57</f>
        <v>7965.884</v>
      </c>
      <c r="Q57" s="38" t="s">
        <v>47</v>
      </c>
      <c r="R57" s="6">
        <v>3.11</v>
      </c>
      <c r="S57" s="39">
        <f>P51*R57</f>
        <v>7991.5803999999989</v>
      </c>
      <c r="T57" s="40" t="s">
        <v>196</v>
      </c>
      <c r="U57" s="6">
        <v>5.73</v>
      </c>
      <c r="V57" s="39">
        <f>P51*U57</f>
        <v>14724.037200000001</v>
      </c>
      <c r="W57" s="38" t="s">
        <v>69</v>
      </c>
      <c r="X57" s="6">
        <v>5.64</v>
      </c>
      <c r="Y57" s="39">
        <f>P51*X57</f>
        <v>14492.769599999998</v>
      </c>
      <c r="Z57" s="5" t="s">
        <v>178</v>
      </c>
      <c r="AA57" s="6">
        <v>3</v>
      </c>
      <c r="AB57" s="39">
        <f>P51*AA57</f>
        <v>7708.92</v>
      </c>
      <c r="AC57" s="38" t="s">
        <v>80</v>
      </c>
      <c r="AD57" s="32">
        <v>3.5</v>
      </c>
      <c r="AE57" s="39">
        <f t="shared" ref="AE57:AE62" si="33">AD57*$P$51</f>
        <v>8993.74</v>
      </c>
      <c r="AF57" s="5" t="s">
        <v>87</v>
      </c>
      <c r="AG57" s="6">
        <v>3.03</v>
      </c>
      <c r="AH57" s="36">
        <f t="shared" ref="AH57:AH62" si="34">AG57*$P$51</f>
        <v>7786.0091999999995</v>
      </c>
      <c r="AI57" s="5" t="s">
        <v>112</v>
      </c>
      <c r="AJ57" s="6">
        <v>3.02</v>
      </c>
      <c r="AK57" s="8">
        <f t="shared" si="32"/>
        <v>7760.3127999999997</v>
      </c>
    </row>
    <row r="58" spans="2:58" x14ac:dyDescent="0.25">
      <c r="B58" s="29"/>
      <c r="C58" s="6"/>
      <c r="D58" s="32"/>
      <c r="E58" s="29"/>
      <c r="F58" s="6"/>
      <c r="G58" s="36"/>
      <c r="H58" s="5"/>
      <c r="I58" s="6"/>
      <c r="J58" s="39">
        <f>P51*I58</f>
        <v>0</v>
      </c>
      <c r="K58" s="38" t="s">
        <v>105</v>
      </c>
      <c r="L58" s="6">
        <v>3.59</v>
      </c>
      <c r="M58" s="39">
        <f>P51*L58</f>
        <v>9225.007599999999</v>
      </c>
      <c r="N58" s="5" t="s">
        <v>106</v>
      </c>
      <c r="O58" s="6">
        <v>4.58</v>
      </c>
      <c r="P58" s="39">
        <f>P51*O58</f>
        <v>11768.9512</v>
      </c>
      <c r="Q58" s="38" t="s">
        <v>48</v>
      </c>
      <c r="R58" s="6">
        <v>2.2000000000000002</v>
      </c>
      <c r="S58" s="39">
        <f>P51*R58</f>
        <v>5653.2080000000005</v>
      </c>
      <c r="T58" s="5" t="s">
        <v>60</v>
      </c>
      <c r="U58" s="6">
        <v>6.17</v>
      </c>
      <c r="V58" s="39">
        <f>P51*U58</f>
        <v>15854.6788</v>
      </c>
      <c r="W58" s="38" t="s">
        <v>70</v>
      </c>
      <c r="X58" s="6">
        <v>2.5</v>
      </c>
      <c r="Y58" s="39">
        <f>P51*X58</f>
        <v>6424.0999999999995</v>
      </c>
      <c r="Z58" s="5" t="s">
        <v>75</v>
      </c>
      <c r="AA58" s="6">
        <v>2.6</v>
      </c>
      <c r="AB58" s="39">
        <f>P51*AA58</f>
        <v>6681.0640000000003</v>
      </c>
      <c r="AC58" s="38" t="s">
        <v>200</v>
      </c>
      <c r="AD58" s="6">
        <v>3.41</v>
      </c>
      <c r="AE58" s="39">
        <f t="shared" si="33"/>
        <v>8762.4724000000006</v>
      </c>
      <c r="AF58" s="5" t="s">
        <v>88</v>
      </c>
      <c r="AG58" s="6">
        <v>3.2</v>
      </c>
      <c r="AH58" s="36">
        <f t="shared" si="34"/>
        <v>8222.848</v>
      </c>
      <c r="AI58" s="5"/>
      <c r="AJ58" s="6"/>
      <c r="AK58" s="8">
        <f t="shared" si="32"/>
        <v>0</v>
      </c>
    </row>
    <row r="59" spans="2:58" x14ac:dyDescent="0.25">
      <c r="B59" s="29"/>
      <c r="C59" s="6"/>
      <c r="D59" s="32"/>
      <c r="E59" s="29"/>
      <c r="F59" s="6"/>
      <c r="G59" s="36"/>
      <c r="H59" s="5"/>
      <c r="I59" s="6"/>
      <c r="J59" s="39">
        <f>P51*I59</f>
        <v>0</v>
      </c>
      <c r="K59" s="38" t="s">
        <v>50</v>
      </c>
      <c r="L59" s="6">
        <v>3.33</v>
      </c>
      <c r="M59" s="39">
        <f>P51*L59</f>
        <v>8556.9012000000002</v>
      </c>
      <c r="N59" s="96" t="s">
        <v>53</v>
      </c>
      <c r="O59" s="6">
        <v>8.1</v>
      </c>
      <c r="P59" s="39">
        <f>P51*O59</f>
        <v>20814.083999999999</v>
      </c>
      <c r="Q59" s="38" t="s">
        <v>56</v>
      </c>
      <c r="R59" s="6">
        <v>2.88</v>
      </c>
      <c r="S59" s="39">
        <f>P51*R59</f>
        <v>7400.5631999999996</v>
      </c>
      <c r="T59" s="5" t="s">
        <v>61</v>
      </c>
      <c r="U59" s="6">
        <v>3.29</v>
      </c>
      <c r="V59" s="39">
        <f>P51*U59</f>
        <v>8454.1155999999992</v>
      </c>
      <c r="W59" s="58" t="s">
        <v>71</v>
      </c>
      <c r="X59" s="6">
        <v>3.38</v>
      </c>
      <c r="Y59" s="39">
        <f>P51*X59</f>
        <v>8685.3831999999984</v>
      </c>
      <c r="Z59" s="5" t="s">
        <v>76</v>
      </c>
      <c r="AA59" s="6">
        <v>3.45</v>
      </c>
      <c r="AB59" s="39">
        <f>P51*AA59</f>
        <v>8865.2579999999998</v>
      </c>
      <c r="AC59" s="38" t="s">
        <v>84</v>
      </c>
      <c r="AD59" s="6">
        <v>2.8</v>
      </c>
      <c r="AE59" s="39">
        <f t="shared" si="33"/>
        <v>7194.9919999999993</v>
      </c>
      <c r="AF59" s="5" t="s">
        <v>111</v>
      </c>
      <c r="AG59" s="6">
        <v>3.02</v>
      </c>
      <c r="AH59" s="36">
        <f t="shared" si="34"/>
        <v>7760.3127999999997</v>
      </c>
      <c r="AI59" s="5"/>
      <c r="AJ59" s="6"/>
      <c r="AK59" s="8">
        <f t="shared" si="32"/>
        <v>0</v>
      </c>
    </row>
    <row r="60" spans="2:58" x14ac:dyDescent="0.25">
      <c r="B60" s="29"/>
      <c r="C60" s="6"/>
      <c r="D60" s="32"/>
      <c r="E60" s="29"/>
      <c r="F60" s="6"/>
      <c r="G60" s="36"/>
      <c r="H60" s="5"/>
      <c r="I60" s="6"/>
      <c r="J60" s="39">
        <f>P51*I60</f>
        <v>0</v>
      </c>
      <c r="K60" s="38" t="s">
        <v>191</v>
      </c>
      <c r="L60" s="6">
        <v>3.95</v>
      </c>
      <c r="M60" s="39">
        <f>P51*L60</f>
        <v>10150.078</v>
      </c>
      <c r="N60" s="40" t="s">
        <v>54</v>
      </c>
      <c r="O60" s="6">
        <v>3</v>
      </c>
      <c r="P60" s="39">
        <f>P51*O60</f>
        <v>7708.92</v>
      </c>
      <c r="Q60" s="38" t="s">
        <v>194</v>
      </c>
      <c r="R60" s="6">
        <v>3.7</v>
      </c>
      <c r="S60" s="39">
        <f>P51*R60</f>
        <v>9507.6679999999997</v>
      </c>
      <c r="T60" s="5" t="s">
        <v>64</v>
      </c>
      <c r="U60" s="6">
        <v>3.77</v>
      </c>
      <c r="V60" s="39">
        <f>P51*U60</f>
        <v>9687.5427999999993</v>
      </c>
      <c r="W60" s="38" t="s">
        <v>72</v>
      </c>
      <c r="X60" s="6">
        <v>2.6</v>
      </c>
      <c r="Y60" s="39">
        <f>P51*X60</f>
        <v>6681.0640000000003</v>
      </c>
      <c r="Z60" s="5" t="s">
        <v>179</v>
      </c>
      <c r="AA60" s="6">
        <v>3.59</v>
      </c>
      <c r="AB60" s="39">
        <f>P51*AA60</f>
        <v>9225.007599999999</v>
      </c>
      <c r="AC60" s="38" t="s">
        <v>85</v>
      </c>
      <c r="AD60" s="6">
        <v>3.52</v>
      </c>
      <c r="AE60" s="39">
        <f t="shared" si="33"/>
        <v>9045.1327999999994</v>
      </c>
      <c r="AF60" s="5" t="s">
        <v>89</v>
      </c>
      <c r="AG60" s="6">
        <v>3.11</v>
      </c>
      <c r="AH60" s="36">
        <f t="shared" si="34"/>
        <v>7991.5803999999989</v>
      </c>
      <c r="AI60" s="5"/>
      <c r="AJ60" s="6"/>
      <c r="AK60" s="8">
        <f t="shared" si="32"/>
        <v>0</v>
      </c>
    </row>
    <row r="61" spans="2:58" x14ac:dyDescent="0.25">
      <c r="B61" s="42"/>
      <c r="C61" s="43"/>
      <c r="D61" s="32"/>
      <c r="E61" s="42"/>
      <c r="F61" s="43"/>
      <c r="G61" s="36"/>
      <c r="H61" s="46"/>
      <c r="I61" s="43"/>
      <c r="J61" s="39">
        <f>P51*I61</f>
        <v>0</v>
      </c>
      <c r="K61" s="48" t="s">
        <v>153</v>
      </c>
      <c r="L61" s="43">
        <v>4.62</v>
      </c>
      <c r="M61" s="39">
        <f>P51*L61</f>
        <v>11871.736800000001</v>
      </c>
      <c r="N61" s="300" t="s">
        <v>192</v>
      </c>
      <c r="O61" s="43">
        <v>2.5</v>
      </c>
      <c r="P61" s="39">
        <f>P51*O61</f>
        <v>6424.0999999999995</v>
      </c>
      <c r="Q61" s="48" t="s">
        <v>49</v>
      </c>
      <c r="R61" s="43">
        <v>3.02</v>
      </c>
      <c r="S61" s="39">
        <f>P51*R61</f>
        <v>7760.3127999999997</v>
      </c>
      <c r="T61" s="46" t="s">
        <v>65</v>
      </c>
      <c r="U61" s="43">
        <v>3.01</v>
      </c>
      <c r="V61" s="39">
        <f>P51*U61</f>
        <v>7734.616399999999</v>
      </c>
      <c r="W61" s="48"/>
      <c r="X61" s="43"/>
      <c r="Y61" s="39">
        <f>P51*X61</f>
        <v>0</v>
      </c>
      <c r="Z61" s="46"/>
      <c r="AA61" s="43"/>
      <c r="AB61" s="39">
        <f>P51*AA61</f>
        <v>0</v>
      </c>
      <c r="AC61" s="48"/>
      <c r="AD61" s="43"/>
      <c r="AE61" s="39">
        <f t="shared" si="33"/>
        <v>0</v>
      </c>
      <c r="AF61" s="46" t="s">
        <v>201</v>
      </c>
      <c r="AG61" s="43">
        <v>2.72</v>
      </c>
      <c r="AH61" s="36">
        <f t="shared" si="34"/>
        <v>6989.4207999999999</v>
      </c>
      <c r="AI61" s="5"/>
      <c r="AJ61" s="6"/>
      <c r="AK61" s="8">
        <f t="shared" si="32"/>
        <v>0</v>
      </c>
    </row>
    <row r="62" spans="2:58" ht="15.75" thickBot="1" x14ac:dyDescent="0.3">
      <c r="B62" s="42"/>
      <c r="C62" s="43"/>
      <c r="D62" s="32"/>
      <c r="E62" s="42"/>
      <c r="F62" s="43"/>
      <c r="G62" s="36"/>
      <c r="H62" s="46"/>
      <c r="I62" s="43"/>
      <c r="J62" s="39">
        <f>P51*I62</f>
        <v>0</v>
      </c>
      <c r="K62" s="48"/>
      <c r="L62" s="43"/>
      <c r="M62" s="39">
        <f>P51*L62</f>
        <v>0</v>
      </c>
      <c r="N62" s="46" t="s">
        <v>174</v>
      </c>
      <c r="O62" s="43">
        <v>2.76</v>
      </c>
      <c r="P62" s="39">
        <f>P51*O62</f>
        <v>7092.2063999999991</v>
      </c>
      <c r="Q62" s="48" t="s">
        <v>261</v>
      </c>
      <c r="R62" s="43">
        <v>3.67</v>
      </c>
      <c r="S62" s="39">
        <f>P51*R62</f>
        <v>9430.5787999999993</v>
      </c>
      <c r="T62" s="46"/>
      <c r="U62" s="43"/>
      <c r="V62" s="39">
        <f>P51*U62</f>
        <v>0</v>
      </c>
      <c r="W62" s="48"/>
      <c r="X62" s="43"/>
      <c r="Y62" s="39">
        <f>P51*X62</f>
        <v>0</v>
      </c>
      <c r="Z62" s="46"/>
      <c r="AA62" s="43"/>
      <c r="AB62" s="39">
        <f>P51*AA62</f>
        <v>0</v>
      </c>
      <c r="AC62" s="48"/>
      <c r="AD62" s="43"/>
      <c r="AE62" s="39">
        <f t="shared" si="33"/>
        <v>0</v>
      </c>
      <c r="AF62" s="46"/>
      <c r="AG62" s="43"/>
      <c r="AH62" s="36">
        <f t="shared" si="34"/>
        <v>0</v>
      </c>
      <c r="AI62" s="46"/>
      <c r="AJ62" s="43"/>
      <c r="AK62" s="50">
        <f t="shared" si="32"/>
        <v>0</v>
      </c>
    </row>
    <row r="63" spans="2:58" ht="15.75" thickBot="1" x14ac:dyDescent="0.3">
      <c r="B63" s="51" t="s">
        <v>15</v>
      </c>
      <c r="C63" s="52">
        <f>SUM(C55:C58)</f>
        <v>2.69</v>
      </c>
      <c r="D63" s="53">
        <f>SUM(D55:D62)</f>
        <v>6912.3315999999995</v>
      </c>
      <c r="E63" s="51"/>
      <c r="F63" s="52">
        <f>SUM(F55:F60)</f>
        <v>2.2000000000000002</v>
      </c>
      <c r="G63" s="54">
        <f>SUM(G55:G62)</f>
        <v>5653.2080000000005</v>
      </c>
      <c r="H63" s="55"/>
      <c r="I63" s="53">
        <f t="shared" ref="I63:J63" si="35">SUM(I55:I62)</f>
        <v>6.25</v>
      </c>
      <c r="J63" s="56">
        <f t="shared" si="35"/>
        <v>16060.25</v>
      </c>
      <c r="K63" s="55"/>
      <c r="L63" s="53">
        <f t="shared" ref="L63:S63" si="36">SUM(L55:L62)</f>
        <v>25.96</v>
      </c>
      <c r="M63" s="56">
        <f t="shared" si="36"/>
        <v>66707.854399999997</v>
      </c>
      <c r="N63" s="55"/>
      <c r="O63" s="53">
        <f t="shared" si="36"/>
        <v>37.910000000000004</v>
      </c>
      <c r="P63" s="56">
        <f t="shared" si="36"/>
        <v>97415.0524</v>
      </c>
      <c r="Q63" s="55"/>
      <c r="R63" s="53">
        <f t="shared" si="36"/>
        <v>33.459999999999994</v>
      </c>
      <c r="S63" s="56">
        <f t="shared" si="36"/>
        <v>85980.154399999999</v>
      </c>
      <c r="T63" s="55"/>
      <c r="U63" s="53">
        <f t="shared" ref="U63:V63" si="37">SUM(U55:U62)</f>
        <v>33.64</v>
      </c>
      <c r="V63" s="56">
        <f t="shared" si="37"/>
        <v>86442.689599999998</v>
      </c>
      <c r="W63" s="55"/>
      <c r="X63" s="53">
        <f t="shared" ref="X63:Y63" si="38">SUM(X55:X62)</f>
        <v>26.3</v>
      </c>
      <c r="Y63" s="56">
        <f t="shared" si="38"/>
        <v>67581.531999999992</v>
      </c>
      <c r="Z63" s="55"/>
      <c r="AA63" s="53">
        <f t="shared" ref="AA63:AB63" si="39">SUM(AA55:AA62)</f>
        <v>25.78</v>
      </c>
      <c r="AB63" s="56">
        <f t="shared" si="39"/>
        <v>66245.319199999998</v>
      </c>
      <c r="AC63" s="55"/>
      <c r="AD63" s="53">
        <f t="shared" ref="AD63:AE63" si="40">SUM(AD55:AD62)</f>
        <v>20.22</v>
      </c>
      <c r="AE63" s="56">
        <f t="shared" si="40"/>
        <v>51958.12079999999</v>
      </c>
      <c r="AF63" s="55"/>
      <c r="AG63" s="53">
        <f t="shared" ref="AG63:AK63" si="41">SUM(AG55:AG62)</f>
        <v>21.13</v>
      </c>
      <c r="AH63" s="54">
        <f t="shared" si="41"/>
        <v>54296.493199999997</v>
      </c>
      <c r="AI63" s="51"/>
      <c r="AJ63" s="52">
        <f t="shared" si="41"/>
        <v>9.0399999999999991</v>
      </c>
      <c r="AK63" s="146">
        <f t="shared" si="41"/>
        <v>23229.545599999998</v>
      </c>
    </row>
    <row r="68" spans="10:10" x14ac:dyDescent="0.25">
      <c r="J68" s="104"/>
    </row>
  </sheetData>
  <mergeCells count="57">
    <mergeCell ref="AI4:AK4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BD4:BF4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L4:AN4"/>
    <mergeCell ref="AO4:AQ4"/>
    <mergeCell ref="AR4:AT4"/>
    <mergeCell ref="AU4:AW4"/>
    <mergeCell ref="AX4:AZ4"/>
    <mergeCell ref="BA4:BC4"/>
    <mergeCell ref="Q53:S53"/>
    <mergeCell ref="AC39:AE39"/>
    <mergeCell ref="AF39:AH39"/>
    <mergeCell ref="AI39:AK39"/>
    <mergeCell ref="AL39:AN39"/>
    <mergeCell ref="AI53:AK53"/>
    <mergeCell ref="T53:V53"/>
    <mergeCell ref="W53:Y53"/>
    <mergeCell ref="Z53:AB53"/>
    <mergeCell ref="AC53:AE53"/>
    <mergeCell ref="AF53:AH53"/>
    <mergeCell ref="B53:D53"/>
    <mergeCell ref="E53:G53"/>
    <mergeCell ref="H53:J53"/>
    <mergeCell ref="K53:M53"/>
    <mergeCell ref="N53:P53"/>
    <mergeCell ref="AU39:AW39"/>
    <mergeCell ref="AX39:AZ39"/>
    <mergeCell ref="BA39:BC39"/>
    <mergeCell ref="BD39:BF39"/>
    <mergeCell ref="AO39:AQ39"/>
    <mergeCell ref="AR39:AT39"/>
    <mergeCell ref="BD53:BF53"/>
    <mergeCell ref="AL53:AN53"/>
    <mergeCell ref="AO53:AQ53"/>
    <mergeCell ref="AR53:AT53"/>
    <mergeCell ref="AU53:AW53"/>
    <mergeCell ref="AX53:AZ53"/>
    <mergeCell ref="BA53:BC5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t H N O U y z D W J y j A A A A 9 Q A A A B I A H A B D b 2 5 m a W c v U G F j a 2 F n Z S 5 4 b W w g o h g A K K A U A A A A A A A A A A A A A A A A A A A A A A A A A A A A h Y + x D o I w F E V / h b y d F m F Q y a M M r J K Y m B j j 1 p Q K j V A M L Z Z / c / C T / A U h i r o 5 3 n v O c O / j d s d 0 a G r v K j u j W p 3 A g g T g S S 3 a Q u k y g d 6 e / B W k D L d c n H k p v V H W J h 5 M k U B l 7 S W m 1 D l H X E T a r q R h E C z o I d / s R C U b D h 9 Z / Z d 9 p Y 3 l W k h g u H + N Y S F Z L 0 k U j p O Q z h 3 m S n / 5 x C b 6 U 2 L W 1 7 b v J B P G z 4 5 I 5 4 j 0 f Y E 9 A V B L A w Q U A A I A C A C 0 c 0 5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H N O U y i K R 7 g O A A A A E Q A A A B M A H A B G b 3 J t d W x h c y 9 T Z W N 0 a W 9 u M S 5 t I K I Y A C i g F A A A A A A A A A A A A A A A A A A A A A A A A A A A A C t O T S 7 J z M 9 T C I b Q h t Y A U E s B A i 0 A F A A C A A g A t H N O U y z D W J y j A A A A 9 Q A A A B I A A A A A A A A A A A A A A A A A A A A A A E N v b m Z p Z y 9 Q Y W N r Y W d l L n h t b F B L A Q I t A B Q A A g A I A L R z T l M P y u m r p A A A A O k A A A A T A A A A A A A A A A A A A A A A A O 8 A A A B b Q 2 9 u d G V u d F 9 U e X B l c 1 0 u e G 1 s U E s B A i 0 A F A A C A A g A t H N O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X M h + h 3 j G F I o v s a z l d 7 a 9 Y A A A A A A g A A A A A A A 2 Y A A M A A A A A Q A A A A d N Q P J O y 5 b Q U C 4 K 1 k S n u d s Q A A A A A E g A A A o A A A A B A A A A A Q i K 3 H B Y y s E s s X I z F D / r H g U A A A A F y c l d Y n c Z v E s 5 t i p T L S K w C H 5 n G D k u U g N t f J p w c y M Y t 9 a K t j c b I a q g e 8 W g X a V k g W V m c C R k J s 4 M u z W Z G s 9 y O A M F r g W G 1 F t f A / Y w k D D o T P t y R Z F A A A A H p Y O y g u R p / h 9 b 8 a R l h n Y v 6 T + X s Q < / D a t a M a s h u p > 
</file>

<file path=customXml/itemProps1.xml><?xml version="1.0" encoding="utf-8"?>
<ds:datastoreItem xmlns:ds="http://schemas.openxmlformats.org/officeDocument/2006/customXml" ds:itemID="{AC234DD9-70DE-4273-AB14-B838317087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celkem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2026-01-20T11:03:32Z</dcterms:modified>
</cp:coreProperties>
</file>